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40" windowHeight="13560" tabRatio="830" activeTab="0"/>
  </bookViews>
  <sheets>
    <sheet name="FOX SILENT N" sheetId="1" r:id="rId1"/>
  </sheets>
  <definedNames>
    <definedName name="_xlnm.Print_Area" localSheetId="0">'FOX SILENT N'!$A$1:$AF$77</definedName>
  </definedNames>
  <calcPr fullCalcOnLoad="1"/>
</workbook>
</file>

<file path=xl/sharedStrings.xml><?xml version="1.0" encoding="utf-8"?>
<sst xmlns="http://schemas.openxmlformats.org/spreadsheetml/2006/main" count="314" uniqueCount="85">
  <si>
    <t>°C</t>
  </si>
  <si>
    <t>L</t>
  </si>
  <si>
    <t>∆t</t>
  </si>
  <si>
    <t>H</t>
  </si>
  <si>
    <t>kg/hod</t>
  </si>
  <si>
    <t>w</t>
  </si>
  <si>
    <t>Pa</t>
  </si>
  <si>
    <t>m/s</t>
  </si>
  <si>
    <t>kPa</t>
  </si>
  <si>
    <t>ZADÁNÍ:</t>
  </si>
  <si>
    <t>Pro správný výpočet určete tyto parametry:</t>
  </si>
  <si>
    <t>0,19/0,5</t>
  </si>
  <si>
    <t>0,3/1</t>
  </si>
  <si>
    <t>0,65/2</t>
  </si>
  <si>
    <t>1,01/3</t>
  </si>
  <si>
    <t>1,31/4</t>
  </si>
  <si>
    <t>0,0725/2</t>
  </si>
  <si>
    <t>0,13/3</t>
  </si>
  <si>
    <t>0,196/4</t>
  </si>
  <si>
    <t>0,3/5</t>
  </si>
  <si>
    <t>0,424/6</t>
  </si>
  <si>
    <t>vyplňte zde:</t>
  </si>
  <si>
    <t>VÝPOČTY</t>
  </si>
  <si>
    <t>tw</t>
  </si>
  <si>
    <t>ta</t>
  </si>
  <si>
    <t>teplotní spád      [°C]:</t>
  </si>
  <si>
    <t xml:space="preserve"> teplota interieru: </t>
  </si>
  <si>
    <t xml:space="preserve"> vstupní teplota vody: </t>
  </si>
  <si>
    <t xml:space="preserve"> teplotní spád: </t>
  </si>
  <si>
    <t>kv=0,036/1</t>
  </si>
  <si>
    <t>kv=0,09/0</t>
  </si>
  <si>
    <t>požadovaná teplota interieru  [°C] :</t>
  </si>
  <si>
    <t>vstupní teplota vody do tělesa  [°C]:</t>
  </si>
  <si>
    <t xml:space="preserve"> střední teplota vody: </t>
  </si>
  <si>
    <t>vypočtený průtok M=</t>
  </si>
  <si>
    <t>rychlost vody  W=</t>
  </si>
  <si>
    <t>tlaková ztráta ∆p=</t>
  </si>
  <si>
    <t xml:space="preserve">hydraulické parametry  </t>
  </si>
  <si>
    <t>VNITŘNÍ VÝMĚNÍK BEZ REGULAČNÍCH ARMATUR</t>
  </si>
  <si>
    <t>VNITŘNÍ VÝMĚNÍK OSAZEN REGULAČNÍ ARMATUROU</t>
  </si>
  <si>
    <t>AKTIVNÍ DÉLKA TĚLESA:</t>
  </si>
  <si>
    <t>Qn- pro větší hloubky než 180mm</t>
  </si>
  <si>
    <t>Qn- pro menší hloubky než 180mm</t>
  </si>
  <si>
    <t>vypočítaní Qn do vzorce</t>
  </si>
  <si>
    <t>hloubka kanálu [mm]</t>
  </si>
  <si>
    <t>(Pozn. Standardní hloubky FOX SILENT N  jsou 90,110,140,300mm)</t>
  </si>
  <si>
    <t>SYSTÉM:</t>
  </si>
  <si>
    <t>PŘIROZENÁ KONVEKCE</t>
  </si>
  <si>
    <t>mm</t>
  </si>
  <si>
    <t>délka tělesa     [mm]:</t>
  </si>
  <si>
    <t>HLOUBKA KANÁLU H:</t>
  </si>
  <si>
    <t>CELKOVÁ DÉLKA TĚLESA L:</t>
  </si>
  <si>
    <t>TOPNÝ VÝKON</t>
  </si>
  <si>
    <t>Individuální přepočet pro jiné armatury</t>
  </si>
  <si>
    <t>zvolte kv</t>
  </si>
  <si>
    <t>tlakové ztráty výměníku s ventilem  Heimeier TRV  V-exact... kv/stupeň nastavení</t>
  </si>
  <si>
    <t>tlakové ztráty výměníku se šroubením Heimeier Regulux... kv/stupeň nastavení</t>
  </si>
  <si>
    <t>Návod: Přepište Vaše hodnoty do políček s červeným číslem a šedým podkladem</t>
  </si>
  <si>
    <t>XX</t>
  </si>
  <si>
    <t>výpočet probíhá ihned</t>
  </si>
  <si>
    <t>kv =</t>
  </si>
  <si>
    <t>-</t>
  </si>
  <si>
    <t>TECHNICKÝ NÁZEV (obj.kod):</t>
  </si>
  <si>
    <t>VÝPOČET TECHNICKÝCH PARAMETRŮ PODLAHOVÉHO  KONVEKTORU FOX SILENT N</t>
  </si>
  <si>
    <t>FSI N</t>
  </si>
  <si>
    <t>TEPELNÉ A TECHNICKÉ PARAMETRY JEDNOTRUBKOVÉHO PODLAHOVÉHO KONVEKTORU FSI N….118</t>
  </si>
  <si>
    <t>TEPELNÉ A TECHNICKÉ PARAMETRY DVOUTRUBKOVÉHO PODLAHOVÉHO KONVEKTORU FSI N….218</t>
  </si>
  <si>
    <t>TEPELNÉ A TECHNICKÉ PARAMETRY  TŘÍTRUBKOVÉHO PODLAHOVÉHO KONVEKTORU FSI N…318</t>
  </si>
  <si>
    <t>TEPELNÉ A TECHNICKÉ PARAMETRY  ČTYŘTRUBKOVÉHO PODLAHOVÉHO KONVEKTORU FSI N…418</t>
  </si>
  <si>
    <t>výměník 118</t>
  </si>
  <si>
    <t>výměník 218</t>
  </si>
  <si>
    <t xml:space="preserve">výměník 318 </t>
  </si>
  <si>
    <t>výměník 418</t>
  </si>
  <si>
    <t>118</t>
  </si>
  <si>
    <t>218</t>
  </si>
  <si>
    <t>318</t>
  </si>
  <si>
    <t>418</t>
  </si>
  <si>
    <t>TYP TĚLESA</t>
  </si>
  <si>
    <t>HLOUBKA VANY</t>
  </si>
  <si>
    <t>ŠÍŘKA  VANY</t>
  </si>
  <si>
    <t>DÉLKA    VANY</t>
  </si>
  <si>
    <t>TYP VÝMĚNÍKU</t>
  </si>
  <si>
    <t>Pozn.: TYP VÝMĚNÍKU - 118 - (JEDNA TRUBKA FOXIS 18), 218-(DVĚ TRUBKY FOXIS 18)….ATD………..</t>
  </si>
  <si>
    <t>opl</t>
  </si>
  <si>
    <t>MINIMÁLNÍ ŠÍŘKA TĚLESA: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</si>
</sst>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00"/>
    <numFmt numFmtId="169" formatCode="0.0000"/>
    <numFmt numFmtId="170" formatCode="000\ 00"/>
    <numFmt numFmtId="171" formatCode="[$¥€-2]\ #\ ##,000_);[Red]\([$€-2]\ #\ ##,0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u val="single"/>
      <sz val="16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>
        <color rgb="FFFF0000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>
        <color rgb="FFFF0000"/>
      </top>
      <bottom style="medium"/>
    </border>
    <border>
      <left style="medium"/>
      <right>
        <color indexed="63"/>
      </right>
      <top style="medium"/>
      <bottom style="thick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medium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thick">
        <color rgb="FFFF0000"/>
      </bottom>
    </border>
    <border>
      <left style="medium"/>
      <right>
        <color indexed="63"/>
      </right>
      <top style="thick">
        <color rgb="FFFF0000"/>
      </top>
      <bottom style="medium"/>
    </border>
    <border>
      <left>
        <color indexed="63"/>
      </left>
      <right style="thick">
        <color rgb="FFFF0000"/>
      </right>
      <top style="thick">
        <color rgb="FFFF0000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>
        <color rgb="FFFF0000"/>
      </right>
      <top style="medium"/>
      <bottom style="thick">
        <color rgb="FFFF0000"/>
      </bottom>
    </border>
    <border>
      <left>
        <color indexed="63"/>
      </left>
      <right style="medium"/>
      <top style="medium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 textRotation="90" shrinkToFit="1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 textRotation="90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right" vertical="center"/>
      <protection hidden="1"/>
    </xf>
    <xf numFmtId="167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right" vertic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right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4" xfId="0" applyFont="1" applyBorder="1" applyAlignment="1" applyProtection="1">
      <alignment horizontal="right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33" borderId="26" xfId="0" applyFont="1" applyFill="1" applyBorder="1" applyAlignment="1" applyProtection="1">
      <alignment horizontal="center"/>
      <protection hidden="1"/>
    </xf>
    <xf numFmtId="167" fontId="19" fillId="33" borderId="27" xfId="0" applyNumberFormat="1" applyFont="1" applyFill="1" applyBorder="1" applyAlignment="1" applyProtection="1">
      <alignment/>
      <protection hidden="1"/>
    </xf>
    <xf numFmtId="167" fontId="19" fillId="33" borderId="28" xfId="0" applyNumberFormat="1" applyFont="1" applyFill="1" applyBorder="1" applyAlignment="1" applyProtection="1">
      <alignment/>
      <protection hidden="1"/>
    </xf>
    <xf numFmtId="0" fontId="19" fillId="33" borderId="29" xfId="0" applyFont="1" applyFill="1" applyBorder="1" applyAlignment="1" applyProtection="1">
      <alignment/>
      <protection hidden="1"/>
    </xf>
    <xf numFmtId="167" fontId="19" fillId="33" borderId="30" xfId="0" applyNumberFormat="1" applyFont="1" applyFill="1" applyBorder="1" applyAlignment="1" applyProtection="1">
      <alignment/>
      <protection hidden="1"/>
    </xf>
    <xf numFmtId="167" fontId="19" fillId="33" borderId="31" xfId="0" applyNumberFormat="1" applyFont="1" applyFill="1" applyBorder="1" applyAlignment="1" applyProtection="1">
      <alignment/>
      <protection hidden="1"/>
    </xf>
    <xf numFmtId="167" fontId="19" fillId="33" borderId="12" xfId="0" applyNumberFormat="1" applyFont="1" applyFill="1" applyBorder="1" applyAlignment="1" applyProtection="1">
      <alignment/>
      <protection hidden="1"/>
    </xf>
    <xf numFmtId="167" fontId="19" fillId="33" borderId="11" xfId="0" applyNumberFormat="1" applyFont="1" applyFill="1" applyBorder="1" applyAlignment="1" applyProtection="1">
      <alignment/>
      <protection hidden="1"/>
    </xf>
    <xf numFmtId="0" fontId="19" fillId="33" borderId="10" xfId="0" applyFont="1" applyFill="1" applyBorder="1" applyAlignment="1" applyProtection="1">
      <alignment/>
      <protection hidden="1"/>
    </xf>
    <xf numFmtId="0" fontId="12" fillId="33" borderId="32" xfId="0" applyFont="1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12" fillId="33" borderId="32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 wrapText="1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/>
      <protection hidden="1"/>
    </xf>
    <xf numFmtId="0" fontId="0" fillId="0" borderId="38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2" fillId="0" borderId="40" xfId="0" applyFont="1" applyBorder="1" applyAlignment="1" applyProtection="1">
      <alignment horizontal="right" vertic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167" fontId="19" fillId="33" borderId="10" xfId="0" applyNumberFormat="1" applyFont="1" applyFill="1" applyBorder="1" applyAlignment="1" applyProtection="1">
      <alignment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2" fillId="0" borderId="42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0" fontId="2" fillId="33" borderId="3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" fillId="33" borderId="43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7" fontId="19" fillId="0" borderId="0" xfId="0" applyNumberFormat="1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1" fontId="60" fillId="0" borderId="0" xfId="0" applyNumberFormat="1" applyFont="1" applyFill="1" applyBorder="1" applyAlignment="1" applyProtection="1">
      <alignment horizontal="center"/>
      <protection hidden="1"/>
    </xf>
    <xf numFmtId="1" fontId="61" fillId="0" borderId="0" xfId="0" applyNumberFormat="1" applyFont="1" applyFill="1" applyBorder="1" applyAlignment="1" applyProtection="1">
      <alignment horizontal="center"/>
      <protection hidden="1"/>
    </xf>
    <xf numFmtId="1" fontId="62" fillId="0" borderId="0" xfId="0" applyNumberFormat="1" applyFont="1" applyFill="1" applyBorder="1" applyAlignment="1" applyProtection="1">
      <alignment horizontal="center" wrapText="1"/>
      <protection hidden="1"/>
    </xf>
    <xf numFmtId="1" fontId="62" fillId="0" borderId="0" xfId="0" applyNumberFormat="1" applyFont="1" applyFill="1" applyBorder="1" applyAlignment="1" applyProtection="1">
      <alignment horizontal="center"/>
      <protection hidden="1"/>
    </xf>
    <xf numFmtId="0" fontId="24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34" xfId="0" applyFont="1" applyBorder="1" applyAlignment="1" applyProtection="1">
      <alignment horizontal="center" vertical="center" shrinkToFit="1"/>
      <protection hidden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167" fontId="2" fillId="0" borderId="47" xfId="0" applyNumberFormat="1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2" fillId="33" borderId="29" xfId="0" applyFont="1" applyFill="1" applyBorder="1" applyAlignment="1" applyProtection="1">
      <alignment horizontal="left" vertical="center"/>
      <protection hidden="1"/>
    </xf>
    <xf numFmtId="0" fontId="2" fillId="33" borderId="33" xfId="0" applyFont="1" applyFill="1" applyBorder="1" applyAlignment="1" applyProtection="1">
      <alignment horizontal="left" vertical="center"/>
      <protection hidden="1"/>
    </xf>
    <xf numFmtId="0" fontId="24" fillId="0" borderId="53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>
      <alignment horizontal="center" vertical="center" wrapText="1"/>
    </xf>
    <xf numFmtId="0" fontId="24" fillId="0" borderId="54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0" fillId="0" borderId="41" xfId="0" applyBorder="1" applyAlignment="1">
      <alignment wrapText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167" fontId="19" fillId="33" borderId="12" xfId="0" applyNumberFormat="1" applyFont="1" applyFill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1" fillId="0" borderId="55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1" fontId="6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8" xfId="0" applyFont="1" applyFill="1" applyBorder="1" applyAlignment="1" applyProtection="1">
      <alignment horizontal="center" vertical="center" wrapText="1"/>
      <protection hidden="1"/>
    </xf>
    <xf numFmtId="0" fontId="19" fillId="0" borderId="29" xfId="0" applyFont="1" applyBorder="1" applyAlignment="1" applyProtection="1">
      <alignment wrapText="1"/>
      <protection hidden="1"/>
    </xf>
    <xf numFmtId="0" fontId="19" fillId="0" borderId="3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0" fontId="19" fillId="0" borderId="33" xfId="0" applyFont="1" applyBorder="1" applyAlignment="1" applyProtection="1">
      <alignment wrapText="1"/>
      <protection hidden="1"/>
    </xf>
    <xf numFmtId="0" fontId="12" fillId="33" borderId="12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center"/>
      <protection hidden="1"/>
    </xf>
    <xf numFmtId="0" fontId="21" fillId="33" borderId="10" xfId="0" applyFont="1" applyFill="1" applyBorder="1" applyAlignment="1" applyProtection="1">
      <alignment horizontal="center"/>
      <protection hidden="1"/>
    </xf>
    <xf numFmtId="0" fontId="12" fillId="33" borderId="27" xfId="0" applyFont="1" applyFill="1" applyBorder="1" applyAlignment="1" applyProtection="1">
      <alignment horizontal="center"/>
      <protection hidden="1"/>
    </xf>
    <xf numFmtId="0" fontId="21" fillId="33" borderId="28" xfId="0" applyFont="1" applyFill="1" applyBorder="1" applyAlignment="1" applyProtection="1">
      <alignment horizontal="center"/>
      <protection hidden="1"/>
    </xf>
    <xf numFmtId="0" fontId="21" fillId="33" borderId="29" xfId="0" applyFont="1" applyFill="1" applyBorder="1" applyAlignment="1" applyProtection="1">
      <alignment horizontal="center"/>
      <protection hidden="1"/>
    </xf>
    <xf numFmtId="1" fontId="20" fillId="33" borderId="28" xfId="0" applyNumberFormat="1" applyFont="1" applyFill="1" applyBorder="1" applyAlignment="1" applyProtection="1">
      <alignment horizontal="right" vertical="center" wrapText="1"/>
      <protection hidden="1"/>
    </xf>
    <xf numFmtId="0" fontId="13" fillId="33" borderId="28" xfId="0" applyFont="1" applyFill="1" applyBorder="1" applyAlignment="1" applyProtection="1">
      <alignment/>
      <protection hidden="1"/>
    </xf>
    <xf numFmtId="0" fontId="13" fillId="33" borderId="31" xfId="0" applyFont="1" applyFill="1" applyBorder="1" applyAlignment="1" applyProtection="1">
      <alignment/>
      <protection hidden="1"/>
    </xf>
    <xf numFmtId="1" fontId="20" fillId="33" borderId="29" xfId="0" applyNumberFormat="1" applyFont="1" applyFill="1" applyBorder="1" applyAlignment="1" applyProtection="1">
      <alignment horizontal="left" vertical="center"/>
      <protection hidden="1"/>
    </xf>
    <xf numFmtId="0" fontId="13" fillId="33" borderId="33" xfId="0" applyFont="1" applyFill="1" applyBorder="1" applyAlignment="1" applyProtection="1">
      <alignment horizontal="left" vertical="center"/>
      <protection hidden="1"/>
    </xf>
    <xf numFmtId="0" fontId="10" fillId="33" borderId="12" xfId="0" applyFont="1" applyFill="1" applyBorder="1" applyAlignment="1" applyProtection="1">
      <alignment horizontal="center"/>
      <protection hidden="1"/>
    </xf>
    <xf numFmtId="0" fontId="10" fillId="33" borderId="11" xfId="0" applyFont="1" applyFill="1" applyBorder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/>
      <protection hidden="1"/>
    </xf>
    <xf numFmtId="0" fontId="14" fillId="33" borderId="12" xfId="0" applyFont="1" applyFill="1" applyBorder="1" applyAlignment="1" applyProtection="1">
      <alignment horizontal="center" vertical="center" shrinkToFit="1"/>
      <protection hidden="1"/>
    </xf>
    <xf numFmtId="0" fontId="14" fillId="33" borderId="11" xfId="0" applyFont="1" applyFill="1" applyBorder="1" applyAlignment="1" applyProtection="1">
      <alignment horizontal="center" vertical="center" shrinkToFit="1"/>
      <protection hidden="1"/>
    </xf>
    <xf numFmtId="0" fontId="14" fillId="33" borderId="10" xfId="0" applyFont="1" applyFill="1" applyBorder="1" applyAlignment="1" applyProtection="1">
      <alignment horizontal="center" vertical="center" shrinkToFit="1"/>
      <protection hidden="1"/>
    </xf>
    <xf numFmtId="167" fontId="2" fillId="0" borderId="12" xfId="0" applyNumberFormat="1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167" fontId="2" fillId="33" borderId="27" xfId="0" applyNumberFormat="1" applyFont="1" applyFill="1" applyBorder="1" applyAlignment="1" applyProtection="1">
      <alignment horizontal="right" vertical="center"/>
      <protection hidden="1"/>
    </xf>
    <xf numFmtId="0" fontId="2" fillId="33" borderId="30" xfId="0" applyFont="1" applyFill="1" applyBorder="1" applyAlignment="1" applyProtection="1">
      <alignment horizontal="right" vertical="center"/>
      <protection hidden="1"/>
    </xf>
    <xf numFmtId="0" fontId="2" fillId="33" borderId="28" xfId="0" applyFont="1" applyFill="1" applyBorder="1" applyAlignment="1" applyProtection="1">
      <alignment horizontal="left" vertical="center"/>
      <protection hidden="1"/>
    </xf>
    <xf numFmtId="0" fontId="2" fillId="33" borderId="31" xfId="0" applyFont="1" applyFill="1" applyBorder="1" applyAlignment="1" applyProtection="1">
      <alignment horizontal="left" vertical="center"/>
      <protection hidden="1"/>
    </xf>
    <xf numFmtId="2" fontId="2" fillId="33" borderId="27" xfId="0" applyNumberFormat="1" applyFont="1" applyFill="1" applyBorder="1" applyAlignment="1" applyProtection="1">
      <alignment horizontal="right" vertical="center"/>
      <protection hidden="1"/>
    </xf>
    <xf numFmtId="2" fontId="2" fillId="33" borderId="28" xfId="0" applyNumberFormat="1" applyFont="1" applyFill="1" applyBorder="1" applyAlignment="1" applyProtection="1">
      <alignment horizontal="right" vertical="center"/>
      <protection hidden="1"/>
    </xf>
    <xf numFmtId="0" fontId="2" fillId="33" borderId="31" xfId="0" applyFont="1" applyFill="1" applyBorder="1" applyAlignment="1" applyProtection="1">
      <alignment horizontal="right" vertical="center"/>
      <protection hidden="1"/>
    </xf>
    <xf numFmtId="0" fontId="0" fillId="33" borderId="33" xfId="0" applyFont="1" applyFill="1" applyBorder="1" applyAlignment="1" applyProtection="1">
      <alignment horizontal="left" vertical="center"/>
      <protection hidden="1"/>
    </xf>
    <xf numFmtId="1" fontId="2" fillId="33" borderId="27" xfId="0" applyNumberFormat="1" applyFont="1" applyFill="1" applyBorder="1" applyAlignment="1" applyProtection="1">
      <alignment vertical="center"/>
      <protection hidden="1"/>
    </xf>
    <xf numFmtId="1" fontId="2" fillId="33" borderId="30" xfId="0" applyNumberFormat="1" applyFont="1" applyFill="1" applyBorder="1" applyAlignment="1" applyProtection="1">
      <alignment vertic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/>
      <protection hidden="1"/>
    </xf>
    <xf numFmtId="0" fontId="0" fillId="0" borderId="58" xfId="0" applyFont="1" applyBorder="1" applyAlignment="1" applyProtection="1">
      <alignment/>
      <protection hidden="1"/>
    </xf>
    <xf numFmtId="0" fontId="0" fillId="0" borderId="59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167" fontId="2" fillId="0" borderId="11" xfId="0" applyNumberFormat="1" applyFont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49" fontId="2" fillId="0" borderId="42" xfId="0" applyNumberFormat="1" applyFont="1" applyFill="1" applyBorder="1" applyAlignment="1" applyProtection="1">
      <alignment horizontal="center" vertical="center"/>
      <protection hidden="1"/>
    </xf>
    <xf numFmtId="0" fontId="2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/>
    </xf>
    <xf numFmtId="0" fontId="11" fillId="0" borderId="0" xfId="0" applyFont="1" applyAlignment="1" applyProtection="1">
      <alignment horizontal="center" shrinkToFit="1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shrinkToFit="1"/>
      <protection hidden="1"/>
    </xf>
    <xf numFmtId="0" fontId="0" fillId="0" borderId="0" xfId="0" applyFont="1" applyAlignment="1">
      <alignment shrinkToFit="1"/>
    </xf>
    <xf numFmtId="167" fontId="2" fillId="0" borderId="45" xfId="0" applyNumberFormat="1" applyFont="1" applyBorder="1" applyAlignment="1" applyProtection="1">
      <alignment horizontal="left" vertical="center"/>
      <protection hidden="1"/>
    </xf>
    <xf numFmtId="0" fontId="0" fillId="0" borderId="42" xfId="0" applyFont="1" applyBorder="1" applyAlignment="1" applyProtection="1">
      <alignment horizontal="left" vertical="center"/>
      <protection hidden="1"/>
    </xf>
    <xf numFmtId="0" fontId="0" fillId="0" borderId="61" xfId="0" applyFont="1" applyBorder="1" applyAlignment="1" applyProtection="1">
      <alignment horizontal="left" vertical="center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1" fontId="20" fillId="33" borderId="33" xfId="0" applyNumberFormat="1" applyFont="1" applyFill="1" applyBorder="1" applyAlignment="1" applyProtection="1">
      <alignment horizontal="left" vertical="center"/>
      <protection hidden="1"/>
    </xf>
    <xf numFmtId="1" fontId="20" fillId="33" borderId="27" xfId="0" applyNumberFormat="1" applyFont="1" applyFill="1" applyBorder="1" applyAlignment="1" applyProtection="1">
      <alignment horizontal="right" vertical="center" wrapText="1"/>
      <protection hidden="1"/>
    </xf>
    <xf numFmtId="1" fontId="20" fillId="33" borderId="30" xfId="0" applyNumberFormat="1" applyFont="1" applyFill="1" applyBorder="1" applyAlignment="1" applyProtection="1">
      <alignment horizontal="right" vertical="center" wrapText="1"/>
      <protection hidden="1"/>
    </xf>
    <xf numFmtId="1" fontId="20" fillId="33" borderId="31" xfId="0" applyNumberFormat="1" applyFont="1" applyFill="1" applyBorder="1" applyAlignment="1" applyProtection="1">
      <alignment horizontal="right" vertical="center" wrapText="1"/>
      <protection hidden="1"/>
    </xf>
    <xf numFmtId="1" fontId="6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31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shrinkToFit="1"/>
      <protection hidden="1"/>
    </xf>
    <xf numFmtId="0" fontId="0" fillId="0" borderId="36" xfId="0" applyBorder="1" applyAlignment="1" applyProtection="1">
      <alignment shrinkToFi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38100</xdr:colOff>
      <xdr:row>1</xdr:row>
      <xdr:rowOff>9525</xdr:rowOff>
    </xdr:from>
    <xdr:to>
      <xdr:col>30</xdr:col>
      <xdr:colOff>104775</xdr:colOff>
      <xdr:row>4</xdr:row>
      <xdr:rowOff>190500</xdr:rowOff>
    </xdr:to>
    <xdr:pic>
      <xdr:nvPicPr>
        <xdr:cNvPr id="1" name="Picture 10" descr="energitech_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47650"/>
          <a:ext cx="1457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</xdr:colOff>
      <xdr:row>4</xdr:row>
      <xdr:rowOff>123825</xdr:rowOff>
    </xdr:from>
    <xdr:to>
      <xdr:col>30</xdr:col>
      <xdr:colOff>323850</xdr:colOff>
      <xdr:row>10</xdr:row>
      <xdr:rowOff>28575</xdr:rowOff>
    </xdr:to>
    <xdr:pic>
      <xdr:nvPicPr>
        <xdr:cNvPr id="2" name="Picture 11" descr="Regulus + Vexakt DN 15malý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876300"/>
          <a:ext cx="2028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</xdr:row>
      <xdr:rowOff>47625</xdr:rowOff>
    </xdr:from>
    <xdr:to>
      <xdr:col>31</xdr:col>
      <xdr:colOff>19050</xdr:colOff>
      <xdr:row>14</xdr:row>
      <xdr:rowOff>85725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2162175"/>
          <a:ext cx="100584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N84"/>
  <sheetViews>
    <sheetView showGridLines="0" tabSelected="1" workbookViewId="0" topLeftCell="A10">
      <selection activeCell="AK58" sqref="AK58"/>
    </sheetView>
  </sheetViews>
  <sheetFormatPr defaultColWidth="9.140625" defaultRowHeight="12.75"/>
  <cols>
    <col min="1" max="1" width="3.8515625" style="2" customWidth="1"/>
    <col min="2" max="2" width="3.57421875" style="2" customWidth="1"/>
    <col min="3" max="3" width="4.28125" style="2" customWidth="1"/>
    <col min="4" max="4" width="2.8515625" style="2" customWidth="1"/>
    <col min="5" max="5" width="3.00390625" style="2" customWidth="1"/>
    <col min="6" max="6" width="4.00390625" style="2" customWidth="1"/>
    <col min="7" max="7" width="3.421875" style="2" customWidth="1"/>
    <col min="8" max="8" width="3.8515625" style="2" customWidth="1"/>
    <col min="9" max="9" width="5.421875" style="2" customWidth="1"/>
    <col min="10" max="10" width="3.140625" style="2" customWidth="1"/>
    <col min="11" max="11" width="8.140625" style="2" customWidth="1"/>
    <col min="12" max="12" width="2.7109375" style="2" customWidth="1"/>
    <col min="13" max="13" width="4.140625" style="2" customWidth="1"/>
    <col min="14" max="14" width="4.8515625" style="2" customWidth="1"/>
    <col min="15" max="15" width="5.421875" style="2" customWidth="1"/>
    <col min="16" max="16" width="5.28125" style="2" customWidth="1"/>
    <col min="17" max="17" width="2.00390625" style="2" customWidth="1"/>
    <col min="18" max="18" width="5.00390625" style="2" customWidth="1"/>
    <col min="19" max="19" width="8.140625" style="2" customWidth="1"/>
    <col min="20" max="20" width="5.7109375" style="2" customWidth="1"/>
    <col min="21" max="21" width="6.28125" style="2" customWidth="1"/>
    <col min="22" max="22" width="5.421875" style="2" customWidth="1"/>
    <col min="23" max="23" width="6.7109375" style="2" customWidth="1"/>
    <col min="24" max="24" width="5.7109375" style="2" customWidth="1"/>
    <col min="25" max="25" width="5.140625" style="2" customWidth="1"/>
    <col min="26" max="26" width="5.8515625" style="2" customWidth="1"/>
    <col min="27" max="27" width="5.28125" style="2" customWidth="1"/>
    <col min="28" max="28" width="4.00390625" style="2" customWidth="1"/>
    <col min="29" max="29" width="5.140625" style="2" customWidth="1"/>
    <col min="30" max="30" width="6.421875" style="2" customWidth="1"/>
    <col min="31" max="31" width="6.8515625" style="2" customWidth="1"/>
    <col min="32" max="32" width="10.421875" style="2" customWidth="1"/>
    <col min="33" max="33" width="5.140625" style="2" customWidth="1"/>
    <col min="34" max="16384" width="9.140625" style="2" customWidth="1"/>
  </cols>
  <sheetData>
    <row r="1" spans="2:30" ht="18.75" customHeight="1">
      <c r="B1" s="222" t="s">
        <v>63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</row>
    <row r="2" spans="3:39" ht="12.75" customHeight="1" thickBot="1">
      <c r="C2" s="12" t="s">
        <v>9</v>
      </c>
      <c r="N2" s="13"/>
      <c r="O2" s="11"/>
      <c r="P2" s="1"/>
      <c r="Q2" s="1"/>
      <c r="R2" s="1"/>
      <c r="S2" s="1"/>
      <c r="T2" s="34"/>
      <c r="U2" s="245"/>
      <c r="V2" s="246"/>
      <c r="W2" s="35"/>
      <c r="X2" s="1"/>
      <c r="Y2" s="1"/>
      <c r="Z2" s="1"/>
      <c r="AM2" s="14"/>
    </row>
    <row r="3" spans="2:39" ht="12.75" customHeight="1" thickBot="1">
      <c r="B3" s="247" t="s">
        <v>57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8"/>
      <c r="S3" s="75" t="s">
        <v>58</v>
      </c>
      <c r="T3" s="2" t="s">
        <v>59</v>
      </c>
      <c r="W3" s="35"/>
      <c r="X3" s="1"/>
      <c r="Y3" s="1"/>
      <c r="Z3" s="1"/>
      <c r="AM3" s="14"/>
    </row>
    <row r="4" spans="2:39" s="14" customFormat="1" ht="15" thickBot="1">
      <c r="B4" s="15" t="s">
        <v>10</v>
      </c>
      <c r="I4" s="16"/>
      <c r="J4" s="16"/>
      <c r="K4" s="16"/>
      <c r="L4" s="223" t="s">
        <v>21</v>
      </c>
      <c r="M4" s="224"/>
      <c r="N4" s="225"/>
      <c r="O4" s="3"/>
      <c r="P4" s="36"/>
      <c r="Q4" s="37"/>
      <c r="R4" s="37"/>
      <c r="S4" s="37"/>
      <c r="T4" s="38"/>
      <c r="U4" s="1"/>
      <c r="V4" s="106"/>
      <c r="W4" s="106"/>
      <c r="X4" s="106"/>
      <c r="Y4" s="106"/>
      <c r="Z4" s="106"/>
      <c r="AE4" s="2"/>
      <c r="AM4" s="2"/>
    </row>
    <row r="5" spans="2:30" ht="16.5" thickBot="1">
      <c r="B5" s="103">
        <v>1</v>
      </c>
      <c r="C5" s="20" t="s">
        <v>31</v>
      </c>
      <c r="D5" s="21"/>
      <c r="E5" s="21"/>
      <c r="F5" s="21"/>
      <c r="G5" s="21"/>
      <c r="H5" s="21"/>
      <c r="I5" s="21"/>
      <c r="J5" s="21"/>
      <c r="K5" s="104"/>
      <c r="L5" s="104"/>
      <c r="M5" s="10" t="s">
        <v>24</v>
      </c>
      <c r="N5" s="105">
        <v>20</v>
      </c>
      <c r="O5" s="42"/>
      <c r="P5" s="226" t="s">
        <v>41</v>
      </c>
      <c r="Q5" s="226"/>
      <c r="R5" s="226"/>
      <c r="S5" s="226"/>
      <c r="T5" s="226"/>
      <c r="U5" s="226"/>
      <c r="V5" s="112">
        <v>15</v>
      </c>
      <c r="W5" s="113">
        <f>(0.000007*N9*N9*N9)-(0.0071*N9*N9)+(2.7667*N9)</f>
        <v>227.744</v>
      </c>
      <c r="X5" s="113">
        <f>(-(0.00000004*N9*N9*N9*N9)+(0.00007*N9*N9*N9)-(0.0394*N9*N9)+(9.5*N9)-290)*1.135</f>
        <v>414.92603600000007</v>
      </c>
      <c r="Y5" s="113">
        <f>(0.00002*N9*N9*N9-0.0198*N9*N9+7.4*N9-250)*1.3</f>
        <v>456.352</v>
      </c>
      <c r="Z5" s="113">
        <f>(0.00001*N9*N9*N9)-(0.0134*N9*N9)+(7.285*N9)</f>
        <v>652.52</v>
      </c>
      <c r="AA5" s="15"/>
      <c r="AB5" s="14"/>
      <c r="AC5" s="14"/>
      <c r="AD5" s="14"/>
    </row>
    <row r="6" spans="2:30" ht="18" customHeight="1" thickBot="1">
      <c r="B6" s="103">
        <v>2</v>
      </c>
      <c r="C6" s="19" t="s">
        <v>32</v>
      </c>
      <c r="D6" s="104"/>
      <c r="E6" s="104"/>
      <c r="F6" s="104"/>
      <c r="G6" s="104"/>
      <c r="H6" s="104"/>
      <c r="I6" s="104"/>
      <c r="J6" s="104"/>
      <c r="K6" s="104"/>
      <c r="L6" s="104"/>
      <c r="M6" s="10" t="s">
        <v>23</v>
      </c>
      <c r="N6" s="105">
        <v>75</v>
      </c>
      <c r="O6" s="15"/>
      <c r="P6" s="226" t="s">
        <v>41</v>
      </c>
      <c r="Q6" s="226"/>
      <c r="R6" s="226"/>
      <c r="S6" s="226"/>
      <c r="T6" s="226"/>
      <c r="U6" s="226"/>
      <c r="V6" s="112">
        <v>18</v>
      </c>
      <c r="W6" s="113">
        <f>W5*1.18</f>
        <v>268.73792</v>
      </c>
      <c r="X6" s="113">
        <f>X5*1.18</f>
        <v>489.61272248000006</v>
      </c>
      <c r="Y6" s="113">
        <f>Y5*1.18</f>
        <v>538.4953599999999</v>
      </c>
      <c r="Z6" s="113">
        <f>Z5*1.18</f>
        <v>769.9735999999999</v>
      </c>
      <c r="AA6" s="15"/>
      <c r="AB6" s="14"/>
      <c r="AC6" s="14"/>
      <c r="AD6" s="14"/>
    </row>
    <row r="7" spans="2:30" ht="18" customHeight="1" thickBot="1">
      <c r="B7" s="103">
        <v>3</v>
      </c>
      <c r="C7" s="19" t="s">
        <v>25</v>
      </c>
      <c r="D7" s="18"/>
      <c r="E7" s="18"/>
      <c r="F7" s="18"/>
      <c r="G7" s="18"/>
      <c r="H7" s="18"/>
      <c r="I7" s="18"/>
      <c r="J7" s="18"/>
      <c r="K7" s="104"/>
      <c r="L7" s="104"/>
      <c r="M7" s="10" t="s">
        <v>2</v>
      </c>
      <c r="N7" s="105">
        <v>10</v>
      </c>
      <c r="O7" s="15"/>
      <c r="P7" s="226" t="s">
        <v>42</v>
      </c>
      <c r="Q7" s="226"/>
      <c r="R7" s="226"/>
      <c r="S7" s="226"/>
      <c r="T7" s="226"/>
      <c r="U7" s="226"/>
      <c r="V7" s="112">
        <v>15</v>
      </c>
      <c r="W7" s="113">
        <f>((0.0092*N9*N9)-1.1528*N9+200)*1.17</f>
        <v>215.87903999999997</v>
      </c>
      <c r="X7" s="113">
        <f>(0.0129*N9*N9-0.5705*N9+230)*1.21</f>
        <v>391.23535000000004</v>
      </c>
      <c r="Y7" s="113">
        <f>(0.0651*$N$9^2-11.389*$N$9+890)*1.14</f>
        <v>484.40880000000004</v>
      </c>
      <c r="Z7" s="113">
        <f>(-(0.001*N9^3)+(0.4111*N9^2)-(50.262*N9)+2410)*1.15</f>
        <v>603.1635000000008</v>
      </c>
      <c r="AA7" s="15"/>
      <c r="AB7" s="14"/>
      <c r="AC7" s="14"/>
      <c r="AD7" s="14"/>
    </row>
    <row r="8" spans="2:39" ht="18" customHeight="1" thickBot="1">
      <c r="B8" s="103">
        <v>4</v>
      </c>
      <c r="C8" s="19" t="s">
        <v>49</v>
      </c>
      <c r="D8" s="18"/>
      <c r="E8" s="18"/>
      <c r="F8" s="18"/>
      <c r="G8" s="18"/>
      <c r="H8" s="18"/>
      <c r="I8" s="18"/>
      <c r="J8" s="18"/>
      <c r="K8" s="104"/>
      <c r="L8" s="104"/>
      <c r="M8" s="10" t="s">
        <v>1</v>
      </c>
      <c r="N8" s="105">
        <v>2000</v>
      </c>
      <c r="O8" s="106"/>
      <c r="P8" s="226" t="s">
        <v>42</v>
      </c>
      <c r="Q8" s="226"/>
      <c r="R8" s="226"/>
      <c r="S8" s="226"/>
      <c r="T8" s="226"/>
      <c r="U8" s="226"/>
      <c r="V8" s="112">
        <v>18</v>
      </c>
      <c r="W8" s="113">
        <f>W7*1.18</f>
        <v>254.73726719999996</v>
      </c>
      <c r="X8" s="113">
        <f>X7*1.18</f>
        <v>461.657713</v>
      </c>
      <c r="Y8" s="113">
        <f>Y7*1.18</f>
        <v>571.602384</v>
      </c>
      <c r="Z8" s="113">
        <f>Z7*1.18</f>
        <v>711.7329300000009</v>
      </c>
      <c r="AA8" s="106"/>
      <c r="AB8" s="15"/>
      <c r="AC8" s="15"/>
      <c r="AD8" s="14"/>
      <c r="AE8" s="1"/>
      <c r="AM8" s="1"/>
    </row>
    <row r="9" spans="2:39" ht="18" customHeight="1" thickBot="1">
      <c r="B9" s="103">
        <v>5</v>
      </c>
      <c r="C9" s="19" t="s">
        <v>44</v>
      </c>
      <c r="D9" s="18"/>
      <c r="E9" s="18"/>
      <c r="F9" s="18"/>
      <c r="G9" s="18"/>
      <c r="H9" s="18"/>
      <c r="I9" s="18"/>
      <c r="J9" s="18"/>
      <c r="K9" s="104"/>
      <c r="L9" s="104"/>
      <c r="M9" s="10" t="s">
        <v>3</v>
      </c>
      <c r="N9" s="107">
        <v>110</v>
      </c>
      <c r="O9" s="15"/>
      <c r="P9" s="226" t="s">
        <v>43</v>
      </c>
      <c r="Q9" s="226"/>
      <c r="R9" s="226"/>
      <c r="S9" s="226"/>
      <c r="T9" s="226"/>
      <c r="U9" s="226"/>
      <c r="V9" s="112">
        <v>15</v>
      </c>
      <c r="W9" s="114">
        <f>IF(N9&gt;179,W5,W7)</f>
        <v>215.87903999999997</v>
      </c>
      <c r="X9" s="114">
        <f>IF(N9&gt;179,X5,X7)</f>
        <v>391.23535000000004</v>
      </c>
      <c r="Y9" s="114">
        <f>IF(N9&gt;179,Y5,Y7)</f>
        <v>484.40880000000004</v>
      </c>
      <c r="Z9" s="114">
        <f>IF(N9&gt;179,Z5,Z7)</f>
        <v>603.1635000000008</v>
      </c>
      <c r="AA9" s="15"/>
      <c r="AB9" s="15"/>
      <c r="AC9" s="15"/>
      <c r="AD9" s="15"/>
      <c r="AE9" s="1"/>
      <c r="AM9" s="1"/>
    </row>
    <row r="10" spans="1:35" s="1" customFormat="1" ht="18.75" customHeight="1">
      <c r="A10" s="4"/>
      <c r="B10" s="227" t="s">
        <v>45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9"/>
      <c r="P10" s="229"/>
      <c r="Q10" s="106"/>
      <c r="R10" s="106"/>
      <c r="S10" s="106"/>
      <c r="T10" s="106"/>
      <c r="U10" s="106"/>
      <c r="V10" s="112">
        <v>18</v>
      </c>
      <c r="W10" s="115">
        <f>W9*1.18</f>
        <v>254.73726719999996</v>
      </c>
      <c r="X10" s="115">
        <f>X9*1.18</f>
        <v>461.657713</v>
      </c>
      <c r="Y10" s="115">
        <f>Y9*1.18</f>
        <v>571.602384</v>
      </c>
      <c r="Z10" s="115">
        <f>Z9*1.18</f>
        <v>711.7329300000009</v>
      </c>
      <c r="AA10" s="15"/>
      <c r="AB10" s="15"/>
      <c r="AC10" s="15"/>
      <c r="AD10" s="15"/>
      <c r="AF10" s="98"/>
      <c r="AG10" s="99"/>
      <c r="AH10" s="99"/>
      <c r="AI10" s="99"/>
    </row>
    <row r="11" spans="16:35" s="1" customFormat="1" ht="15.75" customHeight="1">
      <c r="P11" s="24"/>
      <c r="Q11" s="24"/>
      <c r="R11" s="24"/>
      <c r="S11" s="24"/>
      <c r="T11" s="24"/>
      <c r="U11" s="24"/>
      <c r="V11" s="106"/>
      <c r="W11" s="106"/>
      <c r="X11" s="106"/>
      <c r="Y11" s="106"/>
      <c r="Z11" s="106"/>
      <c r="AA11" s="106"/>
      <c r="AB11" s="106"/>
      <c r="AC11" s="106"/>
      <c r="AD11" s="106"/>
      <c r="AF11" s="99"/>
      <c r="AG11" s="99"/>
      <c r="AH11" s="99"/>
      <c r="AI11" s="99"/>
    </row>
    <row r="12" spans="22:39" s="1" customFormat="1" ht="15.75" customHeight="1">
      <c r="V12" s="24"/>
      <c r="W12" s="24"/>
      <c r="X12" s="24"/>
      <c r="Y12" s="24"/>
      <c r="Z12" s="24"/>
      <c r="AA12" s="24"/>
      <c r="AB12" s="24"/>
      <c r="AF12" s="99"/>
      <c r="AG12" s="99"/>
      <c r="AH12" s="99"/>
      <c r="AI12" s="99"/>
      <c r="AJ12" s="76"/>
      <c r="AK12" s="17"/>
      <c r="AL12" s="17"/>
      <c r="AM12" s="17"/>
    </row>
    <row r="13" spans="32:39" s="1" customFormat="1" ht="40.5" customHeight="1">
      <c r="AF13" s="99"/>
      <c r="AG13" s="99"/>
      <c r="AH13" s="99"/>
      <c r="AI13" s="99"/>
      <c r="AJ13" s="33"/>
      <c r="AK13" s="33"/>
      <c r="AL13" s="77"/>
      <c r="AM13" s="33"/>
    </row>
    <row r="14" spans="32:39" s="1" customFormat="1" ht="83.25" customHeight="1">
      <c r="AF14" s="99"/>
      <c r="AG14" s="99"/>
      <c r="AH14" s="99"/>
      <c r="AI14" s="99"/>
      <c r="AJ14" s="33"/>
      <c r="AK14" s="33"/>
      <c r="AL14" s="77"/>
      <c r="AM14" s="33"/>
    </row>
    <row r="15" spans="1:39" s="1" customFormat="1" ht="21" customHeight="1" thickBot="1">
      <c r="A15" s="4"/>
      <c r="B15" s="4"/>
      <c r="C15" s="5" t="s">
        <v>22</v>
      </c>
      <c r="D15" s="4"/>
      <c r="E15" s="4"/>
      <c r="F15" s="4"/>
      <c r="G15" s="42" t="s">
        <v>82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6"/>
      <c r="T15" s="7"/>
      <c r="U15" s="7"/>
      <c r="V15" s="7"/>
      <c r="W15" s="7"/>
      <c r="X15" s="7"/>
      <c r="Y15" s="7"/>
      <c r="Z15" s="7"/>
      <c r="AA15" s="7"/>
      <c r="AB15" s="7"/>
      <c r="AC15" s="8"/>
      <c r="AD15" s="8"/>
      <c r="AF15" s="99"/>
      <c r="AG15" s="98"/>
      <c r="AH15" s="99"/>
      <c r="AI15" s="99"/>
      <c r="AJ15" s="76"/>
      <c r="AK15" s="17"/>
      <c r="AL15" s="17"/>
      <c r="AM15" s="17"/>
    </row>
    <row r="16" spans="1:39" s="1" customFormat="1" ht="27.75" customHeight="1" thickBot="1">
      <c r="A16" s="2"/>
      <c r="B16" s="180" t="s">
        <v>65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2"/>
      <c r="AF16" s="2"/>
      <c r="AG16" s="4"/>
      <c r="AH16" s="17"/>
      <c r="AI16" s="39"/>
      <c r="AJ16" s="78"/>
      <c r="AK16" s="78"/>
      <c r="AL16" s="78"/>
      <c r="AM16" s="78"/>
    </row>
    <row r="17" spans="1:39" s="1" customFormat="1" ht="24.75" customHeight="1" thickBot="1">
      <c r="A17" s="2"/>
      <c r="B17" s="230" t="s">
        <v>46</v>
      </c>
      <c r="C17" s="231"/>
      <c r="D17" s="231"/>
      <c r="E17" s="231"/>
      <c r="F17" s="232"/>
      <c r="G17" s="117" t="s">
        <v>47</v>
      </c>
      <c r="H17" s="233"/>
      <c r="I17" s="233"/>
      <c r="J17" s="233"/>
      <c r="K17" s="233"/>
      <c r="L17" s="233"/>
      <c r="M17" s="233"/>
      <c r="N17" s="233"/>
      <c r="O17" s="233"/>
      <c r="P17" s="234"/>
      <c r="Q17" s="216" t="s">
        <v>50</v>
      </c>
      <c r="R17" s="184"/>
      <c r="S17" s="184"/>
      <c r="T17" s="184"/>
      <c r="U17" s="43">
        <f>$N$9</f>
        <v>110</v>
      </c>
      <c r="V17" s="23" t="s">
        <v>48</v>
      </c>
      <c r="W17" s="216" t="s">
        <v>84</v>
      </c>
      <c r="X17" s="217"/>
      <c r="Y17" s="217"/>
      <c r="Z17" s="217"/>
      <c r="AA17" s="217"/>
      <c r="AB17" s="218">
        <v>200</v>
      </c>
      <c r="AC17" s="218"/>
      <c r="AD17" s="23" t="s">
        <v>48</v>
      </c>
      <c r="AF17" s="2"/>
      <c r="AG17" s="4"/>
      <c r="AH17" s="17"/>
      <c r="AI17" s="39"/>
      <c r="AJ17" s="78"/>
      <c r="AK17" s="78"/>
      <c r="AL17" s="78"/>
      <c r="AM17" s="78"/>
    </row>
    <row r="18" spans="1:39" s="1" customFormat="1" ht="24.75" customHeight="1" thickBot="1" thickTop="1">
      <c r="A18" s="2"/>
      <c r="B18" s="125" t="s">
        <v>62</v>
      </c>
      <c r="C18" s="126"/>
      <c r="D18" s="126"/>
      <c r="E18" s="126"/>
      <c r="F18" s="127"/>
      <c r="G18" s="133" t="s">
        <v>77</v>
      </c>
      <c r="H18" s="134"/>
      <c r="I18" s="116" t="s">
        <v>78</v>
      </c>
      <c r="J18" s="116"/>
      <c r="K18" s="116" t="s">
        <v>80</v>
      </c>
      <c r="L18" s="116"/>
      <c r="M18" s="116" t="s">
        <v>79</v>
      </c>
      <c r="N18" s="116"/>
      <c r="O18" s="116" t="s">
        <v>81</v>
      </c>
      <c r="P18" s="135"/>
      <c r="Q18" s="80"/>
      <c r="R18" s="95"/>
      <c r="S18" s="95"/>
      <c r="T18" s="95"/>
      <c r="U18" s="43"/>
      <c r="V18" s="23"/>
      <c r="W18" s="96"/>
      <c r="X18" s="97"/>
      <c r="Y18" s="97"/>
      <c r="Z18" s="97"/>
      <c r="AA18" s="97"/>
      <c r="AB18" s="44"/>
      <c r="AC18" s="44"/>
      <c r="AD18" s="23"/>
      <c r="AF18" s="2"/>
      <c r="AG18" s="4"/>
      <c r="AH18" s="17"/>
      <c r="AI18" s="39"/>
      <c r="AJ18" s="78"/>
      <c r="AK18" s="78"/>
      <c r="AL18" s="78"/>
      <c r="AM18" s="78"/>
    </row>
    <row r="19" spans="1:38" s="1" customFormat="1" ht="28.5" customHeight="1" thickBot="1">
      <c r="A19" s="2"/>
      <c r="B19" s="128"/>
      <c r="C19" s="129"/>
      <c r="D19" s="129"/>
      <c r="E19" s="129"/>
      <c r="F19" s="130"/>
      <c r="G19" s="117" t="s">
        <v>64</v>
      </c>
      <c r="H19" s="118"/>
      <c r="I19" s="100">
        <f>N9</f>
        <v>110</v>
      </c>
      <c r="J19" s="101" t="s">
        <v>61</v>
      </c>
      <c r="K19" s="100">
        <f>N8</f>
        <v>2000</v>
      </c>
      <c r="L19" s="101" t="s">
        <v>61</v>
      </c>
      <c r="M19" s="102">
        <v>200</v>
      </c>
      <c r="N19" s="101" t="s">
        <v>61</v>
      </c>
      <c r="O19" s="212" t="s">
        <v>73</v>
      </c>
      <c r="P19" s="213"/>
      <c r="Q19" s="215" t="s">
        <v>51</v>
      </c>
      <c r="R19" s="215"/>
      <c r="S19" s="215"/>
      <c r="T19" s="215"/>
      <c r="U19" s="45">
        <f>$N$8</f>
        <v>2000</v>
      </c>
      <c r="V19" s="22" t="s">
        <v>48</v>
      </c>
      <c r="W19" s="183" t="s">
        <v>40</v>
      </c>
      <c r="X19" s="209"/>
      <c r="Y19" s="209"/>
      <c r="Z19" s="209"/>
      <c r="AA19" s="209"/>
      <c r="AB19" s="210">
        <f>$N$8-250</f>
        <v>1750</v>
      </c>
      <c r="AC19" s="211"/>
      <c r="AD19" s="22" t="s">
        <v>48</v>
      </c>
      <c r="AF19" s="4"/>
      <c r="AG19" s="2"/>
      <c r="AH19" s="17"/>
      <c r="AI19" s="39"/>
      <c r="AJ19" s="78"/>
      <c r="AK19" s="78"/>
      <c r="AL19" s="78"/>
    </row>
    <row r="20" spans="1:39" s="1" customFormat="1" ht="15.75" customHeight="1" thickBot="1" thickTop="1">
      <c r="A20" s="4"/>
      <c r="B20" s="46"/>
      <c r="C20" s="26"/>
      <c r="D20" s="26"/>
      <c r="E20" s="26"/>
      <c r="F20" s="26"/>
      <c r="G20" s="46"/>
      <c r="H20" s="26"/>
      <c r="I20" s="26"/>
      <c r="J20" s="26"/>
      <c r="K20" s="26"/>
      <c r="L20" s="26"/>
      <c r="M20" s="26"/>
      <c r="N20" s="26"/>
      <c r="O20" s="26"/>
      <c r="P20" s="46"/>
      <c r="Q20" s="26"/>
      <c r="R20" s="26"/>
      <c r="S20" s="26"/>
      <c r="T20" s="26"/>
      <c r="U20" s="47"/>
      <c r="V20" s="27"/>
      <c r="W20" s="46"/>
      <c r="X20" s="26"/>
      <c r="Y20" s="26"/>
      <c r="Z20" s="26"/>
      <c r="AA20" s="26"/>
      <c r="AB20" s="26"/>
      <c r="AC20" s="48"/>
      <c r="AD20" s="27"/>
      <c r="AE20" s="2"/>
      <c r="AF20" s="2"/>
      <c r="AG20" s="2"/>
      <c r="AH20" s="17"/>
      <c r="AI20" s="39"/>
      <c r="AJ20" s="78"/>
      <c r="AK20" s="78"/>
      <c r="AL20" s="78"/>
      <c r="AM20" s="78"/>
    </row>
    <row r="21" spans="1:39" s="1" customFormat="1" ht="15.75" customHeight="1" thickBot="1">
      <c r="A21" s="2"/>
      <c r="B21" s="177" t="s">
        <v>38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9"/>
      <c r="Q21" s="42"/>
      <c r="R21" s="177" t="s">
        <v>39</v>
      </c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9"/>
      <c r="AE21" s="144" t="s">
        <v>53</v>
      </c>
      <c r="AF21" s="145"/>
      <c r="AG21" s="2"/>
      <c r="AH21" s="17"/>
      <c r="AI21" s="39"/>
      <c r="AJ21" s="79"/>
      <c r="AK21" s="79"/>
      <c r="AL21" s="79"/>
      <c r="AM21" s="79"/>
    </row>
    <row r="22" spans="2:40" ht="16.5" customHeight="1" thickBot="1">
      <c r="B22" s="88" t="s">
        <v>27</v>
      </c>
      <c r="C22" s="89"/>
      <c r="D22" s="89"/>
      <c r="E22" s="89"/>
      <c r="F22" s="90"/>
      <c r="G22" s="91">
        <f>$N$6</f>
        <v>75</v>
      </c>
      <c r="H22" s="92" t="s">
        <v>0</v>
      </c>
      <c r="I22" s="119" t="s">
        <v>37</v>
      </c>
      <c r="J22" s="120"/>
      <c r="K22" s="120"/>
      <c r="L22" s="120"/>
      <c r="M22" s="120"/>
      <c r="N22" s="120"/>
      <c r="O22" s="120"/>
      <c r="P22" s="121"/>
      <c r="Q22" s="41"/>
      <c r="R22" s="206" t="s">
        <v>55</v>
      </c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8"/>
      <c r="AE22" s="146"/>
      <c r="AF22" s="145"/>
      <c r="AH22" s="17"/>
      <c r="AI22" s="39"/>
      <c r="AJ22" s="40"/>
      <c r="AK22" s="40"/>
      <c r="AL22" s="40"/>
      <c r="AM22" s="40"/>
      <c r="AN22" s="33"/>
    </row>
    <row r="23" spans="1:40" s="4" customFormat="1" ht="13.5" customHeight="1" thickBot="1">
      <c r="A23" s="2"/>
      <c r="B23" s="54" t="s">
        <v>33</v>
      </c>
      <c r="C23" s="55"/>
      <c r="D23" s="55"/>
      <c r="E23" s="55"/>
      <c r="F23" s="56"/>
      <c r="G23" s="57">
        <f>G22-($N$7/2)</f>
        <v>70</v>
      </c>
      <c r="H23" s="87" t="s">
        <v>0</v>
      </c>
      <c r="I23" s="122"/>
      <c r="J23" s="123"/>
      <c r="K23" s="123"/>
      <c r="L23" s="123"/>
      <c r="M23" s="123"/>
      <c r="N23" s="123"/>
      <c r="O23" s="123"/>
      <c r="P23" s="124"/>
      <c r="Q23" s="27"/>
      <c r="R23" s="158" t="s">
        <v>29</v>
      </c>
      <c r="S23" s="159"/>
      <c r="T23" s="157"/>
      <c r="U23" s="155" t="s">
        <v>16</v>
      </c>
      <c r="V23" s="157"/>
      <c r="W23" s="155" t="s">
        <v>17</v>
      </c>
      <c r="X23" s="157"/>
      <c r="Y23" s="155" t="s">
        <v>18</v>
      </c>
      <c r="Z23" s="157"/>
      <c r="AA23" s="155" t="s">
        <v>19</v>
      </c>
      <c r="AB23" s="157"/>
      <c r="AC23" s="155" t="s">
        <v>20</v>
      </c>
      <c r="AD23" s="156"/>
      <c r="AE23" s="146"/>
      <c r="AF23" s="145"/>
      <c r="AG23" s="2"/>
      <c r="AH23" s="33"/>
      <c r="AI23" s="33"/>
      <c r="AJ23" s="33"/>
      <c r="AK23" s="33"/>
      <c r="AL23" s="33"/>
      <c r="AM23" s="33"/>
      <c r="AN23" s="33"/>
    </row>
    <row r="24" spans="2:31" ht="15" customHeight="1" thickBot="1">
      <c r="B24" s="59" t="s">
        <v>28</v>
      </c>
      <c r="C24" s="60"/>
      <c r="D24" s="60"/>
      <c r="E24" s="60"/>
      <c r="F24" s="60"/>
      <c r="G24" s="61">
        <f>$N$7</f>
        <v>10</v>
      </c>
      <c r="H24" s="58" t="s">
        <v>0</v>
      </c>
      <c r="I24" s="136" t="s">
        <v>34</v>
      </c>
      <c r="J24" s="137"/>
      <c r="K24" s="137"/>
      <c r="L24" s="140" t="s">
        <v>35</v>
      </c>
      <c r="M24" s="137"/>
      <c r="N24" s="137"/>
      <c r="O24" s="220" t="s">
        <v>36</v>
      </c>
      <c r="P24" s="221"/>
      <c r="Q24" s="42"/>
      <c r="R24" s="153">
        <f>(0.01*I27/0.036)^2+O27/1000</f>
        <v>113.41875162359511</v>
      </c>
      <c r="S24" s="154"/>
      <c r="T24" s="66" t="s">
        <v>8</v>
      </c>
      <c r="U24" s="65">
        <f>(0.01*I27/0.0725)^2+O27/1000</f>
        <v>27.971212686419417</v>
      </c>
      <c r="V24" s="66" t="s">
        <v>8</v>
      </c>
      <c r="W24" s="65">
        <f>(0.01*I27/0.13)^2+O27/1000</f>
        <v>8.70536487970315</v>
      </c>
      <c r="X24" s="66" t="s">
        <v>8</v>
      </c>
      <c r="Y24" s="65">
        <f>(0.01*I27/0.196)^2+O27/1000</f>
        <v>3.834336509920141</v>
      </c>
      <c r="Z24" s="66" t="s">
        <v>8</v>
      </c>
      <c r="AA24" s="65">
        <f>(0.01*I27/0.3)^2+O27/1000</f>
        <v>1.641439000307457</v>
      </c>
      <c r="AB24" s="66" t="s">
        <v>8</v>
      </c>
      <c r="AC24" s="65">
        <f>(0.01*I27/0.424)^2+O27/1000</f>
        <v>0.8259013803077052</v>
      </c>
      <c r="AD24" s="67" t="s">
        <v>8</v>
      </c>
      <c r="AE24" s="25" t="s">
        <v>54</v>
      </c>
    </row>
    <row r="25" spans="2:38" ht="15" customHeight="1" thickBot="1">
      <c r="B25" s="203" t="s">
        <v>26</v>
      </c>
      <c r="C25" s="204"/>
      <c r="D25" s="204"/>
      <c r="E25" s="204"/>
      <c r="F25" s="205"/>
      <c r="G25" s="62">
        <f>$N$5</f>
        <v>20</v>
      </c>
      <c r="H25" s="63" t="s">
        <v>0</v>
      </c>
      <c r="I25" s="138"/>
      <c r="J25" s="139"/>
      <c r="K25" s="139"/>
      <c r="L25" s="139"/>
      <c r="M25" s="139"/>
      <c r="N25" s="139"/>
      <c r="O25" s="139"/>
      <c r="P25" s="221"/>
      <c r="Q25" s="42"/>
      <c r="R25" s="147" t="s">
        <v>56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9"/>
      <c r="AE25" s="74" t="s">
        <v>60</v>
      </c>
      <c r="AF25" s="73">
        <v>0.4</v>
      </c>
      <c r="AG25" s="9"/>
      <c r="AH25" s="9"/>
      <c r="AI25" s="9"/>
      <c r="AJ25" s="9"/>
      <c r="AK25" s="9"/>
      <c r="AL25" s="9"/>
    </row>
    <row r="26" spans="2:32" ht="14.25" customHeight="1" thickBot="1">
      <c r="B26" s="166" t="s">
        <v>52</v>
      </c>
      <c r="C26" s="167"/>
      <c r="D26" s="167"/>
      <c r="E26" s="167"/>
      <c r="F26" s="167"/>
      <c r="G26" s="167"/>
      <c r="H26" s="168"/>
      <c r="I26" s="138"/>
      <c r="J26" s="137"/>
      <c r="K26" s="137"/>
      <c r="L26" s="139"/>
      <c r="M26" s="139"/>
      <c r="N26" s="139"/>
      <c r="O26" s="137"/>
      <c r="P26" s="221"/>
      <c r="Q26" s="42"/>
      <c r="R26" s="150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2"/>
      <c r="AE26" s="70">
        <f>(0.01*I27/AF25)^2+O27/1000</f>
        <v>0.9269533372324651</v>
      </c>
      <c r="AF26" s="72" t="s">
        <v>8</v>
      </c>
    </row>
    <row r="27" spans="2:38" ht="14.25" customHeight="1" thickBot="1">
      <c r="B27" s="160" t="s">
        <v>69</v>
      </c>
      <c r="C27" s="239"/>
      <c r="D27" s="240"/>
      <c r="E27" s="236">
        <f>((EXP(LN(($G$23-$G$25)/50)*1.45))*W10)/100*AB19/10</f>
        <v>445.79021759999995</v>
      </c>
      <c r="F27" s="172"/>
      <c r="G27" s="172"/>
      <c r="H27" s="175" t="s">
        <v>5</v>
      </c>
      <c r="I27" s="192">
        <f>0.86*E27/$N$7</f>
        <v>38.337958713599996</v>
      </c>
      <c r="J27" s="194" t="s">
        <v>4</v>
      </c>
      <c r="K27" s="131"/>
      <c r="L27" s="196">
        <f>0.0014*(I27)-0.0027</f>
        <v>0.05097314219903999</v>
      </c>
      <c r="M27" s="197"/>
      <c r="N27" s="131" t="s">
        <v>7</v>
      </c>
      <c r="O27" s="200">
        <f>0.0066*(EXP(LN(I27)*1.7681))*N8/1000</f>
        <v>8.328913278903963</v>
      </c>
      <c r="P27" s="131" t="s">
        <v>6</v>
      </c>
      <c r="Q27" s="42"/>
      <c r="R27" s="158" t="s">
        <v>30</v>
      </c>
      <c r="S27" s="159"/>
      <c r="T27" s="157"/>
      <c r="U27" s="81" t="s">
        <v>11</v>
      </c>
      <c r="V27" s="82"/>
      <c r="W27" s="83" t="s">
        <v>12</v>
      </c>
      <c r="X27" s="84"/>
      <c r="Y27" s="85" t="s">
        <v>13</v>
      </c>
      <c r="Z27" s="84"/>
      <c r="AA27" s="85" t="s">
        <v>14</v>
      </c>
      <c r="AB27" s="84"/>
      <c r="AC27" s="85" t="s">
        <v>15</v>
      </c>
      <c r="AD27" s="86"/>
      <c r="AG27" s="9"/>
      <c r="AH27" s="9"/>
      <c r="AI27" s="9"/>
      <c r="AJ27" s="9"/>
      <c r="AK27" s="9"/>
      <c r="AL27" s="9"/>
    </row>
    <row r="28" spans="1:38" ht="16.5" customHeight="1" thickBot="1">
      <c r="A28" s="9"/>
      <c r="B28" s="241"/>
      <c r="C28" s="242"/>
      <c r="D28" s="243"/>
      <c r="E28" s="237"/>
      <c r="F28" s="238"/>
      <c r="G28" s="238"/>
      <c r="H28" s="235"/>
      <c r="I28" s="193"/>
      <c r="J28" s="195"/>
      <c r="K28" s="132"/>
      <c r="L28" s="193"/>
      <c r="M28" s="198"/>
      <c r="N28" s="199"/>
      <c r="O28" s="201"/>
      <c r="P28" s="132"/>
      <c r="Q28" s="42"/>
      <c r="R28" s="153">
        <f>(0.01*I27/0.09)^2+O27/1000</f>
        <v>18.1539965469295</v>
      </c>
      <c r="S28" s="154"/>
      <c r="T28" s="93" t="s">
        <v>8</v>
      </c>
      <c r="U28" s="68">
        <f>(0.01*I27/0.19)^2+O27/1000</f>
        <v>4.079794504208815</v>
      </c>
      <c r="V28" s="69" t="s">
        <v>8</v>
      </c>
      <c r="W28" s="70">
        <f>(0.01*I27/0.3)^2+O27/1000</f>
        <v>1.641439000307457</v>
      </c>
      <c r="X28" s="71" t="s">
        <v>8</v>
      </c>
      <c r="Y28" s="70">
        <f>(0.01*I27/0.65)^2+O27/1000</f>
        <v>0.3562103519358738</v>
      </c>
      <c r="Z28" s="71" t="s">
        <v>8</v>
      </c>
      <c r="AA28" s="70">
        <f>(0.01*I27/1.01)^2+O27/1000</f>
        <v>0.15241273626936547</v>
      </c>
      <c r="AB28" s="71" t="s">
        <v>8</v>
      </c>
      <c r="AC28" s="70">
        <f>(0.01*I27/1.31)^2+O27/1000</f>
        <v>0.09397654909999234</v>
      </c>
      <c r="AD28" s="72" t="s">
        <v>8</v>
      </c>
      <c r="AG28" s="9"/>
      <c r="AH28" s="9"/>
      <c r="AI28" s="9"/>
      <c r="AJ28" s="9"/>
      <c r="AK28" s="9"/>
      <c r="AL28" s="9"/>
    </row>
    <row r="29" spans="2:39" ht="13.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2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G29" s="9"/>
      <c r="AH29" s="9"/>
      <c r="AI29" s="9"/>
      <c r="AJ29" s="9"/>
      <c r="AK29" s="9"/>
      <c r="AL29" s="9"/>
      <c r="AM29" s="9"/>
    </row>
    <row r="30" spans="2:39" ht="21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2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G30" s="9"/>
      <c r="AH30" s="9"/>
      <c r="AI30" s="9"/>
      <c r="AJ30" s="9"/>
      <c r="AK30" s="9"/>
      <c r="AL30" s="9"/>
      <c r="AM30" s="9"/>
    </row>
    <row r="31" spans="2:30" s="9" customFormat="1" ht="18" customHeight="1" thickBot="1">
      <c r="B31" s="28"/>
      <c r="C31" s="28"/>
      <c r="D31" s="29"/>
      <c r="E31" s="29"/>
      <c r="F31" s="29"/>
      <c r="G31" s="29"/>
      <c r="H31" s="108"/>
      <c r="I31" s="30"/>
      <c r="J31" s="31"/>
      <c r="K31" s="31"/>
      <c r="L31" s="30"/>
      <c r="M31" s="30"/>
      <c r="N31" s="31"/>
      <c r="O31" s="32"/>
      <c r="P31" s="31"/>
      <c r="Q31" s="106"/>
      <c r="R31" s="109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1"/>
    </row>
    <row r="32" spans="2:30" ht="21" thickBot="1">
      <c r="B32" s="180" t="s">
        <v>66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2"/>
    </row>
    <row r="33" spans="2:30" ht="21" thickBot="1">
      <c r="B33" s="183" t="s">
        <v>46</v>
      </c>
      <c r="C33" s="184"/>
      <c r="D33" s="184"/>
      <c r="E33" s="184"/>
      <c r="F33" s="185"/>
      <c r="G33" s="141" t="s">
        <v>47</v>
      </c>
      <c r="H33" s="142"/>
      <c r="I33" s="142"/>
      <c r="J33" s="142"/>
      <c r="K33" s="142"/>
      <c r="L33" s="142"/>
      <c r="M33" s="142"/>
      <c r="N33" s="142"/>
      <c r="O33" s="142"/>
      <c r="P33" s="143"/>
      <c r="Q33" s="216" t="s">
        <v>50</v>
      </c>
      <c r="R33" s="184"/>
      <c r="S33" s="184"/>
      <c r="T33" s="184"/>
      <c r="U33" s="43">
        <f>$N$9</f>
        <v>110</v>
      </c>
      <c r="V33" s="23" t="s">
        <v>48</v>
      </c>
      <c r="W33" s="216" t="s">
        <v>84</v>
      </c>
      <c r="X33" s="217"/>
      <c r="Y33" s="217"/>
      <c r="Z33" s="217"/>
      <c r="AA33" s="217"/>
      <c r="AB33" s="218">
        <v>300</v>
      </c>
      <c r="AC33" s="218"/>
      <c r="AD33" s="23" t="s">
        <v>48</v>
      </c>
    </row>
    <row r="34" spans="1:39" s="1" customFormat="1" ht="24.75" customHeight="1" thickBot="1" thickTop="1">
      <c r="A34" s="2"/>
      <c r="B34" s="125" t="s">
        <v>62</v>
      </c>
      <c r="C34" s="126"/>
      <c r="D34" s="126"/>
      <c r="E34" s="126"/>
      <c r="F34" s="127"/>
      <c r="G34" s="133" t="s">
        <v>77</v>
      </c>
      <c r="H34" s="134"/>
      <c r="I34" s="116" t="s">
        <v>78</v>
      </c>
      <c r="J34" s="116"/>
      <c r="K34" s="116" t="s">
        <v>80</v>
      </c>
      <c r="L34" s="116"/>
      <c r="M34" s="116" t="s">
        <v>79</v>
      </c>
      <c r="N34" s="116"/>
      <c r="O34" s="116" t="s">
        <v>81</v>
      </c>
      <c r="P34" s="135"/>
      <c r="Q34" s="96"/>
      <c r="R34" s="95"/>
      <c r="S34" s="95"/>
      <c r="T34" s="95"/>
      <c r="U34" s="43"/>
      <c r="V34" s="23"/>
      <c r="W34" s="96"/>
      <c r="X34" s="97"/>
      <c r="Y34" s="97"/>
      <c r="Z34" s="97"/>
      <c r="AA34" s="97"/>
      <c r="AB34" s="44"/>
      <c r="AC34" s="44"/>
      <c r="AD34" s="23"/>
      <c r="AF34" s="2"/>
      <c r="AG34" s="4"/>
      <c r="AH34" s="17"/>
      <c r="AI34" s="39"/>
      <c r="AJ34" s="78"/>
      <c r="AK34" s="78"/>
      <c r="AL34" s="78"/>
      <c r="AM34" s="78"/>
    </row>
    <row r="35" spans="2:30" ht="27" customHeight="1" thickBot="1">
      <c r="B35" s="128"/>
      <c r="C35" s="129"/>
      <c r="D35" s="129"/>
      <c r="E35" s="129"/>
      <c r="F35" s="130"/>
      <c r="G35" s="117" t="s">
        <v>64</v>
      </c>
      <c r="H35" s="118"/>
      <c r="I35" s="100">
        <f>$N$9</f>
        <v>110</v>
      </c>
      <c r="J35" s="101" t="s">
        <v>61</v>
      </c>
      <c r="K35" s="100">
        <f>$N$8</f>
        <v>2000</v>
      </c>
      <c r="L35" s="101" t="s">
        <v>61</v>
      </c>
      <c r="M35" s="102">
        <v>300</v>
      </c>
      <c r="N35" s="101" t="s">
        <v>61</v>
      </c>
      <c r="O35" s="212" t="s">
        <v>74</v>
      </c>
      <c r="P35" s="213"/>
      <c r="Q35" s="214" t="s">
        <v>51</v>
      </c>
      <c r="R35" s="215"/>
      <c r="S35" s="215"/>
      <c r="T35" s="215"/>
      <c r="U35" s="45">
        <f>$N$8</f>
        <v>2000</v>
      </c>
      <c r="V35" s="22" t="s">
        <v>48</v>
      </c>
      <c r="W35" s="183" t="s">
        <v>40</v>
      </c>
      <c r="X35" s="209"/>
      <c r="Y35" s="209"/>
      <c r="Z35" s="209"/>
      <c r="AA35" s="209"/>
      <c r="AB35" s="210">
        <f>$N$8-250</f>
        <v>1750</v>
      </c>
      <c r="AC35" s="211"/>
      <c r="AD35" s="22" t="s">
        <v>48</v>
      </c>
    </row>
    <row r="36" spans="2:30" ht="14.25" thickBot="1" thickTop="1">
      <c r="B36" s="46"/>
      <c r="C36" s="26"/>
      <c r="D36" s="26"/>
      <c r="E36" s="26"/>
      <c r="F36" s="26"/>
      <c r="G36" s="46"/>
      <c r="H36" s="26"/>
      <c r="I36" s="26"/>
      <c r="J36" s="26"/>
      <c r="K36" s="26"/>
      <c r="L36" s="26"/>
      <c r="M36" s="26"/>
      <c r="N36" s="26"/>
      <c r="O36" s="26"/>
      <c r="P36" s="46"/>
      <c r="Q36" s="26"/>
      <c r="R36" s="26"/>
      <c r="S36" s="26"/>
      <c r="T36" s="26"/>
      <c r="U36" s="47"/>
      <c r="V36" s="27"/>
      <c r="W36" s="46"/>
      <c r="X36" s="26"/>
      <c r="Y36" s="26"/>
      <c r="Z36" s="26"/>
      <c r="AA36" s="26"/>
      <c r="AB36" s="26"/>
      <c r="AC36" s="48"/>
      <c r="AD36" s="27"/>
    </row>
    <row r="37" spans="2:32" ht="15.75" thickBot="1">
      <c r="B37" s="177" t="s">
        <v>38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9"/>
      <c r="Q37" s="42"/>
      <c r="R37" s="177" t="s">
        <v>39</v>
      </c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9"/>
      <c r="AE37" s="144" t="s">
        <v>53</v>
      </c>
      <c r="AF37" s="145"/>
    </row>
    <row r="38" spans="2:32" ht="16.5" customHeight="1" thickBot="1">
      <c r="B38" s="49" t="s">
        <v>27</v>
      </c>
      <c r="C38" s="50"/>
      <c r="D38" s="50"/>
      <c r="E38" s="50"/>
      <c r="F38" s="51"/>
      <c r="G38" s="52">
        <f>$N$6</f>
        <v>75</v>
      </c>
      <c r="H38" s="53" t="s">
        <v>0</v>
      </c>
      <c r="I38" s="119" t="s">
        <v>37</v>
      </c>
      <c r="J38" s="120"/>
      <c r="K38" s="120"/>
      <c r="L38" s="120"/>
      <c r="M38" s="120"/>
      <c r="N38" s="120"/>
      <c r="O38" s="120"/>
      <c r="P38" s="121"/>
      <c r="Q38" s="41"/>
      <c r="R38" s="206" t="s">
        <v>55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8"/>
      <c r="AE38" s="146"/>
      <c r="AF38" s="145"/>
    </row>
    <row r="39" spans="2:32" ht="16.5" customHeight="1" thickBot="1">
      <c r="B39" s="54" t="s">
        <v>33</v>
      </c>
      <c r="C39" s="55"/>
      <c r="D39" s="55"/>
      <c r="E39" s="55"/>
      <c r="F39" s="56"/>
      <c r="G39" s="57">
        <f>G38-($N$7/2)</f>
        <v>70</v>
      </c>
      <c r="H39" s="58" t="s">
        <v>0</v>
      </c>
      <c r="I39" s="122"/>
      <c r="J39" s="123"/>
      <c r="K39" s="123"/>
      <c r="L39" s="123"/>
      <c r="M39" s="123"/>
      <c r="N39" s="123"/>
      <c r="O39" s="123"/>
      <c r="P39" s="124"/>
      <c r="Q39" s="27"/>
      <c r="R39" s="158" t="s">
        <v>29</v>
      </c>
      <c r="S39" s="159"/>
      <c r="T39" s="157"/>
      <c r="U39" s="155" t="s">
        <v>16</v>
      </c>
      <c r="V39" s="157"/>
      <c r="W39" s="155" t="s">
        <v>17</v>
      </c>
      <c r="X39" s="157"/>
      <c r="Y39" s="155" t="s">
        <v>18</v>
      </c>
      <c r="Z39" s="157"/>
      <c r="AA39" s="155" t="s">
        <v>19</v>
      </c>
      <c r="AB39" s="157"/>
      <c r="AC39" s="155" t="s">
        <v>20</v>
      </c>
      <c r="AD39" s="156"/>
      <c r="AE39" s="146"/>
      <c r="AF39" s="145"/>
    </row>
    <row r="40" spans="2:31" ht="12.75" customHeight="1" thickBot="1">
      <c r="B40" s="59" t="s">
        <v>28</v>
      </c>
      <c r="C40" s="60"/>
      <c r="D40" s="60"/>
      <c r="E40" s="60"/>
      <c r="F40" s="60"/>
      <c r="G40" s="61">
        <f>$N$7</f>
        <v>10</v>
      </c>
      <c r="H40" s="58" t="s">
        <v>0</v>
      </c>
      <c r="I40" s="136" t="s">
        <v>34</v>
      </c>
      <c r="J40" s="137"/>
      <c r="K40" s="137"/>
      <c r="L40" s="140" t="s">
        <v>35</v>
      </c>
      <c r="M40" s="137"/>
      <c r="N40" s="137"/>
      <c r="O40" s="220" t="s">
        <v>36</v>
      </c>
      <c r="P40" s="221"/>
      <c r="Q40" s="42"/>
      <c r="R40" s="153">
        <f>(0.01*I43/0.036)^2+O43/1000</f>
        <v>372.53215073307547</v>
      </c>
      <c r="S40" s="154"/>
      <c r="T40" s="66" t="s">
        <v>8</v>
      </c>
      <c r="U40" s="65">
        <f>(0.01*I43/0.0725)^2+O43/1000</f>
        <v>91.88878549237013</v>
      </c>
      <c r="V40" s="66" t="s">
        <v>8</v>
      </c>
      <c r="W40" s="65">
        <f>(0.01*I43/0.13)^2+O43/1000</f>
        <v>28.612154825834185</v>
      </c>
      <c r="X40" s="66" t="s">
        <v>8</v>
      </c>
      <c r="Y40" s="65">
        <f>(0.01*I43/0.196)^2+O43/1000</f>
        <v>12.613779555085456</v>
      </c>
      <c r="Z40" s="66" t="s">
        <v>8</v>
      </c>
      <c r="AA40" s="65">
        <f>(0.01*I43/0.3)^2+O43/1000</f>
        <v>5.411440618464381</v>
      </c>
      <c r="AB40" s="66" t="s">
        <v>8</v>
      </c>
      <c r="AC40" s="65">
        <f>(0.01*I43/0.424)^2+O43/1000</f>
        <v>2.732893933516511</v>
      </c>
      <c r="AD40" s="67" t="s">
        <v>8</v>
      </c>
      <c r="AE40" s="25" t="s">
        <v>54</v>
      </c>
    </row>
    <row r="41" spans="2:32" ht="13.5" thickBot="1">
      <c r="B41" s="203" t="s">
        <v>26</v>
      </c>
      <c r="C41" s="204"/>
      <c r="D41" s="204"/>
      <c r="E41" s="204"/>
      <c r="F41" s="205"/>
      <c r="G41" s="62">
        <f>$N$5</f>
        <v>20</v>
      </c>
      <c r="H41" s="63" t="s">
        <v>0</v>
      </c>
      <c r="I41" s="138"/>
      <c r="J41" s="139"/>
      <c r="K41" s="139"/>
      <c r="L41" s="139"/>
      <c r="M41" s="139"/>
      <c r="N41" s="139"/>
      <c r="O41" s="139"/>
      <c r="P41" s="221"/>
      <c r="Q41" s="42"/>
      <c r="R41" s="147" t="s">
        <v>56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74" t="s">
        <v>60</v>
      </c>
      <c r="AF41" s="73">
        <v>0.3</v>
      </c>
    </row>
    <row r="42" spans="2:32" ht="14.25" customHeight="1" thickBot="1">
      <c r="B42" s="166" t="s">
        <v>52</v>
      </c>
      <c r="C42" s="167"/>
      <c r="D42" s="167"/>
      <c r="E42" s="167"/>
      <c r="F42" s="167"/>
      <c r="G42" s="167"/>
      <c r="H42" s="168"/>
      <c r="I42" s="138"/>
      <c r="J42" s="137"/>
      <c r="K42" s="137"/>
      <c r="L42" s="139"/>
      <c r="M42" s="139"/>
      <c r="N42" s="139"/>
      <c r="O42" s="137"/>
      <c r="P42" s="221"/>
      <c r="Q42" s="42"/>
      <c r="R42" s="150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2"/>
      <c r="AE42" s="70">
        <f>(0.01*I43/AF41)^2+O43/1000</f>
        <v>5.411440618464381</v>
      </c>
      <c r="AF42" s="72" t="s">
        <v>8</v>
      </c>
    </row>
    <row r="43" spans="2:30" ht="13.5" customHeight="1" thickBot="1">
      <c r="B43" s="160" t="s">
        <v>70</v>
      </c>
      <c r="C43" s="161"/>
      <c r="D43" s="162"/>
      <c r="E43" s="172">
        <f>((EXP(LN(($G$23-$G$25)/50)*1.45))*X10)/100*AB35/10</f>
        <v>807.9009977499999</v>
      </c>
      <c r="F43" s="173"/>
      <c r="G43" s="173"/>
      <c r="H43" s="175" t="s">
        <v>5</v>
      </c>
      <c r="I43" s="192">
        <f>0.86*E43/$N$7</f>
        <v>69.47948580649998</v>
      </c>
      <c r="J43" s="194" t="s">
        <v>4</v>
      </c>
      <c r="K43" s="131"/>
      <c r="L43" s="196">
        <f>0.0014*(I43)-0.0027</f>
        <v>0.09457128012909997</v>
      </c>
      <c r="M43" s="197"/>
      <c r="N43" s="131" t="s">
        <v>7</v>
      </c>
      <c r="O43" s="200">
        <f>0.0066*(EXP(LN(I43)*1.7681))/10*$U$19*2/100</f>
        <v>47.66400964701078</v>
      </c>
      <c r="P43" s="131" t="s">
        <v>6</v>
      </c>
      <c r="Q43" s="42"/>
      <c r="R43" s="219" t="s">
        <v>30</v>
      </c>
      <c r="S43" s="159"/>
      <c r="T43" s="157"/>
      <c r="U43" s="94" t="s">
        <v>11</v>
      </c>
      <c r="V43" s="86"/>
      <c r="W43" s="83" t="s">
        <v>12</v>
      </c>
      <c r="X43" s="84"/>
      <c r="Y43" s="85" t="s">
        <v>13</v>
      </c>
      <c r="Z43" s="84"/>
      <c r="AA43" s="85" t="s">
        <v>14</v>
      </c>
      <c r="AB43" s="84"/>
      <c r="AC43" s="85" t="s">
        <v>15</v>
      </c>
      <c r="AD43" s="86"/>
    </row>
    <row r="44" spans="2:30" ht="13.5" customHeight="1" thickBot="1">
      <c r="B44" s="163"/>
      <c r="C44" s="164"/>
      <c r="D44" s="165"/>
      <c r="E44" s="174"/>
      <c r="F44" s="174"/>
      <c r="G44" s="174"/>
      <c r="H44" s="176"/>
      <c r="I44" s="193"/>
      <c r="J44" s="195"/>
      <c r="K44" s="132"/>
      <c r="L44" s="193"/>
      <c r="M44" s="198"/>
      <c r="N44" s="199"/>
      <c r="O44" s="201"/>
      <c r="P44" s="132"/>
      <c r="Q44" s="42"/>
      <c r="R44" s="153">
        <f>(0.01*I43/0.09)^2+O43/1000</f>
        <v>59.645181885395566</v>
      </c>
      <c r="S44" s="154"/>
      <c r="T44" s="71" t="s">
        <v>8</v>
      </c>
      <c r="U44" s="70">
        <f>(0.01*I43/0.19)^2+O43/1000</f>
        <v>13.419960264316355</v>
      </c>
      <c r="V44" s="71" t="s">
        <v>8</v>
      </c>
      <c r="W44" s="70">
        <f>(0.01*I43/0.3)^2+O43/1000</f>
        <v>5.411440618464381</v>
      </c>
      <c r="X44" s="71" t="s">
        <v>8</v>
      </c>
      <c r="Y44" s="70">
        <f>(0.01*I43/0.65)^2+O43/1000</f>
        <v>1.1902436422944975</v>
      </c>
      <c r="Z44" s="71" t="s">
        <v>8</v>
      </c>
      <c r="AA44" s="70">
        <f>(0.01*I43/1.01)^2+O43/1000</f>
        <v>0.5208920214042535</v>
      </c>
      <c r="AB44" s="71" t="s">
        <v>8</v>
      </c>
      <c r="AC44" s="70">
        <f>(0.01*I43/1.31)^2+O43/1000</f>
        <v>0.3289645718482596</v>
      </c>
      <c r="AD44" s="72" t="s">
        <v>8</v>
      </c>
    </row>
    <row r="45" ht="13.5" customHeight="1">
      <c r="Q45" s="42"/>
    </row>
    <row r="46" ht="23.25" customHeight="1">
      <c r="Q46" s="42"/>
    </row>
    <row r="47" ht="13.5" thickBot="1"/>
    <row r="48" spans="2:30" ht="21" thickBot="1">
      <c r="B48" s="180" t="s">
        <v>67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2"/>
    </row>
    <row r="49" spans="2:30" ht="21" thickBot="1">
      <c r="B49" s="183" t="s">
        <v>46</v>
      </c>
      <c r="C49" s="184"/>
      <c r="D49" s="184"/>
      <c r="E49" s="184"/>
      <c r="F49" s="185"/>
      <c r="G49" s="141" t="s">
        <v>47</v>
      </c>
      <c r="H49" s="142"/>
      <c r="I49" s="142"/>
      <c r="J49" s="142"/>
      <c r="K49" s="142"/>
      <c r="L49" s="142"/>
      <c r="M49" s="142"/>
      <c r="N49" s="142"/>
      <c r="O49" s="142"/>
      <c r="P49" s="143"/>
      <c r="Q49" s="216" t="s">
        <v>50</v>
      </c>
      <c r="R49" s="184"/>
      <c r="S49" s="184"/>
      <c r="T49" s="184"/>
      <c r="U49" s="43">
        <f>$N$9</f>
        <v>110</v>
      </c>
      <c r="V49" s="23" t="s">
        <v>48</v>
      </c>
      <c r="W49" s="216" t="s">
        <v>84</v>
      </c>
      <c r="X49" s="217"/>
      <c r="Y49" s="217"/>
      <c r="Z49" s="217"/>
      <c r="AA49" s="217"/>
      <c r="AB49" s="218">
        <v>360</v>
      </c>
      <c r="AC49" s="218"/>
      <c r="AD49" s="23" t="s">
        <v>48</v>
      </c>
    </row>
    <row r="50" spans="1:39" s="1" customFormat="1" ht="24.75" customHeight="1" thickBot="1" thickTop="1">
      <c r="A50" s="2"/>
      <c r="B50" s="125" t="s">
        <v>62</v>
      </c>
      <c r="C50" s="126"/>
      <c r="D50" s="126"/>
      <c r="E50" s="126"/>
      <c r="F50" s="127"/>
      <c r="G50" s="133" t="s">
        <v>77</v>
      </c>
      <c r="H50" s="134"/>
      <c r="I50" s="116" t="s">
        <v>78</v>
      </c>
      <c r="J50" s="116"/>
      <c r="K50" s="116" t="s">
        <v>80</v>
      </c>
      <c r="L50" s="116"/>
      <c r="M50" s="116" t="s">
        <v>79</v>
      </c>
      <c r="N50" s="116"/>
      <c r="O50" s="116" t="s">
        <v>81</v>
      </c>
      <c r="P50" s="135"/>
      <c r="Q50" s="96"/>
      <c r="R50" s="95"/>
      <c r="S50" s="95"/>
      <c r="T50" s="95"/>
      <c r="U50" s="43"/>
      <c r="V50" s="23"/>
      <c r="W50" s="96"/>
      <c r="X50" s="97"/>
      <c r="Y50" s="97"/>
      <c r="Z50" s="97"/>
      <c r="AA50" s="97"/>
      <c r="AB50" s="44"/>
      <c r="AC50" s="44"/>
      <c r="AD50" s="23"/>
      <c r="AF50" s="2"/>
      <c r="AG50" s="4"/>
      <c r="AH50" s="17"/>
      <c r="AI50" s="39"/>
      <c r="AJ50" s="78"/>
      <c r="AK50" s="78"/>
      <c r="AL50" s="78"/>
      <c r="AM50" s="78"/>
    </row>
    <row r="51" spans="2:30" ht="35.25" customHeight="1" thickBot="1">
      <c r="B51" s="128"/>
      <c r="C51" s="129"/>
      <c r="D51" s="129"/>
      <c r="E51" s="129"/>
      <c r="F51" s="130"/>
      <c r="G51" s="117" t="s">
        <v>64</v>
      </c>
      <c r="H51" s="118"/>
      <c r="I51" s="100">
        <f>$N$9</f>
        <v>110</v>
      </c>
      <c r="J51" s="101" t="s">
        <v>61</v>
      </c>
      <c r="K51" s="100">
        <f>$N$8</f>
        <v>2000</v>
      </c>
      <c r="L51" s="101" t="s">
        <v>61</v>
      </c>
      <c r="M51" s="102" t="s">
        <v>83</v>
      </c>
      <c r="N51" s="101" t="s">
        <v>61</v>
      </c>
      <c r="O51" s="212" t="s">
        <v>75</v>
      </c>
      <c r="P51" s="213"/>
      <c r="Q51" s="214" t="s">
        <v>51</v>
      </c>
      <c r="R51" s="215"/>
      <c r="S51" s="215"/>
      <c r="T51" s="215"/>
      <c r="U51" s="45">
        <f>$N$8</f>
        <v>2000</v>
      </c>
      <c r="V51" s="22" t="s">
        <v>48</v>
      </c>
      <c r="W51" s="183" t="s">
        <v>40</v>
      </c>
      <c r="X51" s="209"/>
      <c r="Y51" s="209"/>
      <c r="Z51" s="209"/>
      <c r="AA51" s="209"/>
      <c r="AB51" s="210">
        <f>$N$8-250</f>
        <v>1750</v>
      </c>
      <c r="AC51" s="211"/>
      <c r="AD51" s="22" t="s">
        <v>48</v>
      </c>
    </row>
    <row r="52" spans="2:30" ht="14.25" thickBot="1" thickTop="1">
      <c r="B52" s="46"/>
      <c r="C52" s="26"/>
      <c r="D52" s="26"/>
      <c r="E52" s="26"/>
      <c r="F52" s="26"/>
      <c r="G52" s="46"/>
      <c r="H52" s="26"/>
      <c r="I52" s="26"/>
      <c r="J52" s="26"/>
      <c r="K52" s="26"/>
      <c r="L52" s="26"/>
      <c r="M52" s="26"/>
      <c r="N52" s="26"/>
      <c r="O52" s="26"/>
      <c r="P52" s="46"/>
      <c r="Q52" s="26"/>
      <c r="R52" s="26"/>
      <c r="S52" s="26"/>
      <c r="T52" s="26"/>
      <c r="U52" s="47"/>
      <c r="V52" s="27"/>
      <c r="W52" s="46"/>
      <c r="X52" s="26"/>
      <c r="Y52" s="26"/>
      <c r="Z52" s="26"/>
      <c r="AA52" s="26"/>
      <c r="AB52" s="26"/>
      <c r="AC52" s="48"/>
      <c r="AD52" s="27"/>
    </row>
    <row r="53" spans="2:32" ht="15.75" thickBot="1">
      <c r="B53" s="177" t="s">
        <v>38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9"/>
      <c r="Q53" s="42"/>
      <c r="R53" s="177" t="s">
        <v>39</v>
      </c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9"/>
      <c r="AE53" s="144" t="s">
        <v>53</v>
      </c>
      <c r="AF53" s="145"/>
    </row>
    <row r="54" spans="2:32" ht="13.5" customHeight="1" thickBot="1">
      <c r="B54" s="49" t="s">
        <v>27</v>
      </c>
      <c r="C54" s="50"/>
      <c r="D54" s="50"/>
      <c r="E54" s="50"/>
      <c r="F54" s="51"/>
      <c r="G54" s="52">
        <f>$N$6</f>
        <v>75</v>
      </c>
      <c r="H54" s="53" t="s">
        <v>0</v>
      </c>
      <c r="I54" s="119" t="s">
        <v>37</v>
      </c>
      <c r="J54" s="120"/>
      <c r="K54" s="120"/>
      <c r="L54" s="120"/>
      <c r="M54" s="120"/>
      <c r="N54" s="120"/>
      <c r="O54" s="120"/>
      <c r="P54" s="121"/>
      <c r="Q54" s="41"/>
      <c r="R54" s="206" t="s">
        <v>55</v>
      </c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8"/>
      <c r="AE54" s="146"/>
      <c r="AF54" s="145"/>
    </row>
    <row r="55" spans="2:32" ht="13.5" customHeight="1" thickBot="1">
      <c r="B55" s="54" t="s">
        <v>33</v>
      </c>
      <c r="C55" s="55"/>
      <c r="D55" s="55"/>
      <c r="E55" s="55"/>
      <c r="F55" s="56"/>
      <c r="G55" s="57">
        <f>G54-($N$7/2)</f>
        <v>70</v>
      </c>
      <c r="H55" s="58" t="s">
        <v>0</v>
      </c>
      <c r="I55" s="122"/>
      <c r="J55" s="123"/>
      <c r="K55" s="123"/>
      <c r="L55" s="123"/>
      <c r="M55" s="123"/>
      <c r="N55" s="123"/>
      <c r="O55" s="123"/>
      <c r="P55" s="124"/>
      <c r="Q55" s="27"/>
      <c r="R55" s="158" t="s">
        <v>29</v>
      </c>
      <c r="S55" s="159"/>
      <c r="T55" s="157"/>
      <c r="U55" s="155" t="s">
        <v>16</v>
      </c>
      <c r="V55" s="157"/>
      <c r="W55" s="155" t="s">
        <v>17</v>
      </c>
      <c r="X55" s="157"/>
      <c r="Y55" s="155" t="s">
        <v>18</v>
      </c>
      <c r="Z55" s="157"/>
      <c r="AA55" s="155" t="s">
        <v>19</v>
      </c>
      <c r="AB55" s="157"/>
      <c r="AC55" s="155" t="s">
        <v>20</v>
      </c>
      <c r="AD55" s="156"/>
      <c r="AE55" s="146"/>
      <c r="AF55" s="145"/>
    </row>
    <row r="56" spans="2:31" ht="13.5" customHeight="1" thickBot="1">
      <c r="B56" s="59" t="s">
        <v>28</v>
      </c>
      <c r="C56" s="60"/>
      <c r="D56" s="60"/>
      <c r="E56" s="60"/>
      <c r="F56" s="60"/>
      <c r="G56" s="61">
        <f>$N$7</f>
        <v>10</v>
      </c>
      <c r="H56" s="58" t="s">
        <v>0</v>
      </c>
      <c r="I56" s="136" t="s">
        <v>34</v>
      </c>
      <c r="J56" s="137"/>
      <c r="K56" s="137"/>
      <c r="L56" s="140" t="s">
        <v>35</v>
      </c>
      <c r="M56" s="137"/>
      <c r="N56" s="137"/>
      <c r="O56" s="220" t="s">
        <v>36</v>
      </c>
      <c r="P56" s="221"/>
      <c r="Q56" s="42"/>
      <c r="R56" s="153">
        <f>(0.01*I59/0.036)^2+O59/1000</f>
        <v>571.1305417723755</v>
      </c>
      <c r="S56" s="154"/>
      <c r="T56" s="66" t="s">
        <v>8</v>
      </c>
      <c r="U56" s="65">
        <f>(0.01*I59/0.0725)^2+O59/1000</f>
        <v>140.89859991649453</v>
      </c>
      <c r="V56" s="66" t="s">
        <v>8</v>
      </c>
      <c r="W56" s="65">
        <f>(0.01*I59/0.13)^2+O59/1000</f>
        <v>43.894248281772384</v>
      </c>
      <c r="X56" s="66" t="s">
        <v>8</v>
      </c>
      <c r="Y56" s="65">
        <f>(0.01*I59/0.196)^2+O59/1000</f>
        <v>19.368416169654463</v>
      </c>
      <c r="Z56" s="66" t="s">
        <v>8</v>
      </c>
      <c r="AA56" s="65">
        <f>(0.01*I59/0.3)^2+O59/1000</f>
        <v>8.327085247938223</v>
      </c>
      <c r="AB56" s="66" t="s">
        <v>8</v>
      </c>
      <c r="AC56" s="65">
        <f>(0.01*I59/0.424)^2+O59/1000</f>
        <v>4.220819131052282</v>
      </c>
      <c r="AD56" s="67" t="s">
        <v>8</v>
      </c>
      <c r="AE56" s="25" t="s">
        <v>54</v>
      </c>
    </row>
    <row r="57" spans="2:32" ht="15.75" customHeight="1" thickBot="1">
      <c r="B57" s="203" t="s">
        <v>26</v>
      </c>
      <c r="C57" s="204"/>
      <c r="D57" s="204"/>
      <c r="E57" s="204"/>
      <c r="F57" s="205"/>
      <c r="G57" s="62">
        <f>$N$5</f>
        <v>20</v>
      </c>
      <c r="H57" s="63" t="s">
        <v>0</v>
      </c>
      <c r="I57" s="138"/>
      <c r="J57" s="139"/>
      <c r="K57" s="139"/>
      <c r="L57" s="139"/>
      <c r="M57" s="139"/>
      <c r="N57" s="139"/>
      <c r="O57" s="139"/>
      <c r="P57" s="221"/>
      <c r="Q57" s="42"/>
      <c r="R57" s="147" t="s">
        <v>56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9"/>
      <c r="AE57" s="74" t="s">
        <v>60</v>
      </c>
      <c r="AF57" s="73">
        <v>0.3</v>
      </c>
    </row>
    <row r="58" spans="2:32" ht="14.25" customHeight="1" thickBot="1">
      <c r="B58" s="169" t="s">
        <v>52</v>
      </c>
      <c r="C58" s="170"/>
      <c r="D58" s="170"/>
      <c r="E58" s="170"/>
      <c r="F58" s="170"/>
      <c r="G58" s="170"/>
      <c r="H58" s="171"/>
      <c r="I58" s="138"/>
      <c r="J58" s="137"/>
      <c r="K58" s="137"/>
      <c r="L58" s="139"/>
      <c r="M58" s="139"/>
      <c r="N58" s="139"/>
      <c r="O58" s="137"/>
      <c r="P58" s="221"/>
      <c r="Q58" s="42"/>
      <c r="R58" s="150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2"/>
      <c r="AE58" s="70">
        <f>(0.01*I59/AF57)^2+O59/1000</f>
        <v>8.327085247938223</v>
      </c>
      <c r="AF58" s="72" t="s">
        <v>8</v>
      </c>
    </row>
    <row r="59" spans="2:30" ht="13.5" customHeight="1" thickBot="1">
      <c r="B59" s="160" t="s">
        <v>71</v>
      </c>
      <c r="C59" s="161"/>
      <c r="D59" s="162"/>
      <c r="E59" s="172">
        <f>((EXP(LN(($G$23-$G$25)/50)*1.45))*Y10)/100*AB51/10</f>
        <v>1000.3041719999999</v>
      </c>
      <c r="F59" s="173"/>
      <c r="G59" s="173"/>
      <c r="H59" s="175" t="s">
        <v>5</v>
      </c>
      <c r="I59" s="192">
        <f>0.86*E59/$N$7</f>
        <v>86.02615879199999</v>
      </c>
      <c r="J59" s="194" t="s">
        <v>4</v>
      </c>
      <c r="K59" s="131"/>
      <c r="L59" s="196">
        <f>0.0014*(I59)-0.0027</f>
        <v>0.11773662230879998</v>
      </c>
      <c r="M59" s="197"/>
      <c r="N59" s="131" t="s">
        <v>7</v>
      </c>
      <c r="O59" s="200">
        <f>0.0066*(EXP(LN(I59)*1.7681))/100*$U$19*3/10</f>
        <v>104.30747404222419</v>
      </c>
      <c r="P59" s="131" t="s">
        <v>6</v>
      </c>
      <c r="Q59" s="42"/>
      <c r="R59" s="186" t="s">
        <v>30</v>
      </c>
      <c r="S59" s="187"/>
      <c r="T59" s="187"/>
      <c r="U59" s="186" t="s">
        <v>11</v>
      </c>
      <c r="V59" s="188"/>
      <c r="W59" s="189" t="s">
        <v>12</v>
      </c>
      <c r="X59" s="190"/>
      <c r="Y59" s="191" t="s">
        <v>13</v>
      </c>
      <c r="Z59" s="190"/>
      <c r="AA59" s="191" t="s">
        <v>14</v>
      </c>
      <c r="AB59" s="190"/>
      <c r="AC59" s="191" t="s">
        <v>15</v>
      </c>
      <c r="AD59" s="202"/>
    </row>
    <row r="60" spans="2:30" ht="13.5" customHeight="1" thickBot="1">
      <c r="B60" s="163"/>
      <c r="C60" s="164"/>
      <c r="D60" s="165"/>
      <c r="E60" s="174"/>
      <c r="F60" s="174"/>
      <c r="G60" s="174"/>
      <c r="H60" s="176"/>
      <c r="I60" s="193"/>
      <c r="J60" s="195"/>
      <c r="K60" s="132"/>
      <c r="L60" s="193"/>
      <c r="M60" s="198"/>
      <c r="N60" s="199"/>
      <c r="O60" s="201"/>
      <c r="P60" s="132"/>
      <c r="Q60" s="42"/>
      <c r="R60" s="153">
        <f>(0.01*I59/0.09)^2+O59/1000</f>
        <v>91.46850496177557</v>
      </c>
      <c r="S60" s="154"/>
      <c r="T60" s="93" t="s">
        <v>8</v>
      </c>
      <c r="U60" s="68">
        <f>(0.01*I59/0.19)^2+O59/1000</f>
        <v>20.604307464364656</v>
      </c>
      <c r="V60" s="69" t="s">
        <v>8</v>
      </c>
      <c r="W60" s="70">
        <f>(0.01*I59/0.3)^2+O59/1000</f>
        <v>8.327085247938223</v>
      </c>
      <c r="X60" s="71" t="s">
        <v>8</v>
      </c>
      <c r="Y60" s="70">
        <f>(0.01*I59/0.65)^2+O59/1000</f>
        <v>1.8559051063514307</v>
      </c>
      <c r="Z60" s="71" t="s">
        <v>8</v>
      </c>
      <c r="AA60" s="70">
        <f>(0.01*I59/1.01)^2+O59/1000</f>
        <v>0.8297755650633396</v>
      </c>
      <c r="AB60" s="71" t="s">
        <v>8</v>
      </c>
      <c r="AC60" s="70">
        <f>(0.01*I59/1.31)^2+O59/1000</f>
        <v>0.5355469120998197</v>
      </c>
      <c r="AD60" s="72" t="s">
        <v>8</v>
      </c>
    </row>
    <row r="61" ht="13.5" customHeight="1">
      <c r="Q61" s="42"/>
    </row>
    <row r="62" ht="24" customHeight="1">
      <c r="Q62" s="42"/>
    </row>
    <row r="63" ht="13.5" thickBot="1"/>
    <row r="64" spans="2:30" ht="21" thickBot="1">
      <c r="B64" s="180" t="s">
        <v>68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2"/>
    </row>
    <row r="65" spans="2:30" ht="21" thickBot="1">
      <c r="B65" s="183" t="s">
        <v>46</v>
      </c>
      <c r="C65" s="184"/>
      <c r="D65" s="184"/>
      <c r="E65" s="184"/>
      <c r="F65" s="185"/>
      <c r="G65" s="141" t="s">
        <v>47</v>
      </c>
      <c r="H65" s="142"/>
      <c r="I65" s="142"/>
      <c r="J65" s="142"/>
      <c r="K65" s="142"/>
      <c r="L65" s="142"/>
      <c r="M65" s="142"/>
      <c r="N65" s="142"/>
      <c r="O65" s="142"/>
      <c r="P65" s="143"/>
      <c r="Q65" s="216" t="s">
        <v>50</v>
      </c>
      <c r="R65" s="184"/>
      <c r="S65" s="184"/>
      <c r="T65" s="184"/>
      <c r="U65" s="43">
        <f>$N$9</f>
        <v>110</v>
      </c>
      <c r="V65" s="23" t="s">
        <v>48</v>
      </c>
      <c r="W65" s="216" t="s">
        <v>84</v>
      </c>
      <c r="X65" s="217"/>
      <c r="Y65" s="217"/>
      <c r="Z65" s="217"/>
      <c r="AA65" s="217"/>
      <c r="AB65" s="218">
        <v>400</v>
      </c>
      <c r="AC65" s="218"/>
      <c r="AD65" s="23" t="s">
        <v>48</v>
      </c>
    </row>
    <row r="66" spans="1:39" s="1" customFormat="1" ht="24.75" customHeight="1" thickBot="1" thickTop="1">
      <c r="A66" s="2"/>
      <c r="B66" s="125" t="s">
        <v>62</v>
      </c>
      <c r="C66" s="126"/>
      <c r="D66" s="126"/>
      <c r="E66" s="126"/>
      <c r="F66" s="127"/>
      <c r="G66" s="133" t="s">
        <v>77</v>
      </c>
      <c r="H66" s="134"/>
      <c r="I66" s="116" t="s">
        <v>78</v>
      </c>
      <c r="J66" s="116"/>
      <c r="K66" s="116" t="s">
        <v>80</v>
      </c>
      <c r="L66" s="116"/>
      <c r="M66" s="116" t="s">
        <v>79</v>
      </c>
      <c r="N66" s="116"/>
      <c r="O66" s="116" t="s">
        <v>81</v>
      </c>
      <c r="P66" s="135"/>
      <c r="Q66" s="96"/>
      <c r="R66" s="95"/>
      <c r="S66" s="95"/>
      <c r="T66" s="95"/>
      <c r="U66" s="43"/>
      <c r="V66" s="23"/>
      <c r="W66" s="96"/>
      <c r="X66" s="97"/>
      <c r="Y66" s="97"/>
      <c r="Z66" s="97"/>
      <c r="AA66" s="97"/>
      <c r="AB66" s="44"/>
      <c r="AC66" s="44"/>
      <c r="AD66" s="23"/>
      <c r="AF66" s="2"/>
      <c r="AG66" s="4"/>
      <c r="AH66" s="17"/>
      <c r="AI66" s="39"/>
      <c r="AJ66" s="78"/>
      <c r="AK66" s="78"/>
      <c r="AL66" s="78"/>
      <c r="AM66" s="78"/>
    </row>
    <row r="67" spans="2:30" ht="33.75" customHeight="1" thickBot="1">
      <c r="B67" s="128"/>
      <c r="C67" s="129"/>
      <c r="D67" s="129"/>
      <c r="E67" s="129"/>
      <c r="F67" s="130"/>
      <c r="G67" s="117" t="s">
        <v>64</v>
      </c>
      <c r="H67" s="118"/>
      <c r="I67" s="100">
        <f>$N$9</f>
        <v>110</v>
      </c>
      <c r="J67" s="101" t="s">
        <v>61</v>
      </c>
      <c r="K67" s="100">
        <f>$N$8</f>
        <v>2000</v>
      </c>
      <c r="L67" s="101" t="s">
        <v>61</v>
      </c>
      <c r="M67" s="102">
        <v>400</v>
      </c>
      <c r="N67" s="101" t="s">
        <v>61</v>
      </c>
      <c r="O67" s="212" t="s">
        <v>76</v>
      </c>
      <c r="P67" s="213"/>
      <c r="Q67" s="214" t="s">
        <v>51</v>
      </c>
      <c r="R67" s="215"/>
      <c r="S67" s="215"/>
      <c r="T67" s="215"/>
      <c r="U67" s="45">
        <f>$N$8</f>
        <v>2000</v>
      </c>
      <c r="V67" s="22" t="s">
        <v>48</v>
      </c>
      <c r="W67" s="183" t="s">
        <v>40</v>
      </c>
      <c r="X67" s="209"/>
      <c r="Y67" s="209"/>
      <c r="Z67" s="209"/>
      <c r="AA67" s="209"/>
      <c r="AB67" s="210">
        <f>$N$8-250</f>
        <v>1750</v>
      </c>
      <c r="AC67" s="211"/>
      <c r="AD67" s="22" t="s">
        <v>48</v>
      </c>
    </row>
    <row r="68" spans="2:30" ht="14.25" thickBot="1" thickTop="1">
      <c r="B68" s="46"/>
      <c r="C68" s="26"/>
      <c r="D68" s="26"/>
      <c r="E68" s="26"/>
      <c r="F68" s="26"/>
      <c r="G68" s="46"/>
      <c r="H68" s="26"/>
      <c r="I68" s="26"/>
      <c r="J68" s="26"/>
      <c r="K68" s="26"/>
      <c r="L68" s="26"/>
      <c r="M68" s="26"/>
      <c r="N68" s="26"/>
      <c r="O68" s="26"/>
      <c r="P68" s="46"/>
      <c r="Q68" s="26"/>
      <c r="R68" s="26"/>
      <c r="S68" s="26"/>
      <c r="T68" s="26"/>
      <c r="U68" s="47"/>
      <c r="V68" s="27"/>
      <c r="W68" s="46"/>
      <c r="X68" s="26"/>
      <c r="Y68" s="26"/>
      <c r="Z68" s="26"/>
      <c r="AA68" s="26"/>
      <c r="AB68" s="26"/>
      <c r="AC68" s="48"/>
      <c r="AD68" s="27"/>
    </row>
    <row r="69" spans="2:32" ht="15.75" thickBot="1">
      <c r="B69" s="177" t="s">
        <v>38</v>
      </c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9"/>
      <c r="Q69" s="42"/>
      <c r="R69" s="177" t="s">
        <v>39</v>
      </c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9"/>
      <c r="AE69" s="144" t="s">
        <v>53</v>
      </c>
      <c r="AF69" s="145"/>
    </row>
    <row r="70" spans="2:32" ht="13.5" customHeight="1" thickBot="1">
      <c r="B70" s="49" t="s">
        <v>27</v>
      </c>
      <c r="C70" s="50"/>
      <c r="D70" s="50"/>
      <c r="E70" s="50"/>
      <c r="F70" s="51"/>
      <c r="G70" s="52">
        <f>$N$6</f>
        <v>75</v>
      </c>
      <c r="H70" s="53" t="s">
        <v>0</v>
      </c>
      <c r="I70" s="119" t="s">
        <v>37</v>
      </c>
      <c r="J70" s="120"/>
      <c r="K70" s="120"/>
      <c r="L70" s="120"/>
      <c r="M70" s="120"/>
      <c r="N70" s="120"/>
      <c r="O70" s="120"/>
      <c r="P70" s="121"/>
      <c r="Q70" s="41"/>
      <c r="R70" s="206" t="s">
        <v>55</v>
      </c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8"/>
      <c r="AE70" s="146"/>
      <c r="AF70" s="145"/>
    </row>
    <row r="71" spans="2:32" ht="13.5" customHeight="1" thickBot="1">
      <c r="B71" s="54" t="s">
        <v>33</v>
      </c>
      <c r="C71" s="55"/>
      <c r="D71" s="55"/>
      <c r="E71" s="55"/>
      <c r="F71" s="56"/>
      <c r="G71" s="57">
        <f>G70-($N$7/2)</f>
        <v>70</v>
      </c>
      <c r="H71" s="58" t="s">
        <v>0</v>
      </c>
      <c r="I71" s="122"/>
      <c r="J71" s="123"/>
      <c r="K71" s="123"/>
      <c r="L71" s="123"/>
      <c r="M71" s="123"/>
      <c r="N71" s="123"/>
      <c r="O71" s="123"/>
      <c r="P71" s="124"/>
      <c r="Q71" s="27"/>
      <c r="R71" s="158" t="s">
        <v>29</v>
      </c>
      <c r="S71" s="159"/>
      <c r="T71" s="157"/>
      <c r="U71" s="155" t="s">
        <v>16</v>
      </c>
      <c r="V71" s="157"/>
      <c r="W71" s="155" t="s">
        <v>17</v>
      </c>
      <c r="X71" s="157"/>
      <c r="Y71" s="155" t="s">
        <v>18</v>
      </c>
      <c r="Z71" s="157"/>
      <c r="AA71" s="155" t="s">
        <v>19</v>
      </c>
      <c r="AB71" s="157"/>
      <c r="AC71" s="155" t="s">
        <v>20</v>
      </c>
      <c r="AD71" s="156"/>
      <c r="AE71" s="146"/>
      <c r="AF71" s="145"/>
    </row>
    <row r="72" spans="2:31" ht="13.5" customHeight="1" thickBot="1">
      <c r="B72" s="59" t="s">
        <v>28</v>
      </c>
      <c r="C72" s="60"/>
      <c r="D72" s="60"/>
      <c r="E72" s="60"/>
      <c r="F72" s="60"/>
      <c r="G72" s="61">
        <f>$N$7</f>
        <v>10</v>
      </c>
      <c r="H72" s="58" t="s">
        <v>0</v>
      </c>
      <c r="I72" s="136" t="s">
        <v>34</v>
      </c>
      <c r="J72" s="137"/>
      <c r="K72" s="137"/>
      <c r="L72" s="140" t="s">
        <v>35</v>
      </c>
      <c r="M72" s="137"/>
      <c r="N72" s="137"/>
      <c r="O72" s="220" t="s">
        <v>36</v>
      </c>
      <c r="P72" s="221"/>
      <c r="Q72" s="42"/>
      <c r="R72" s="64">
        <v>418</v>
      </c>
      <c r="S72" s="65">
        <f>(0.01*I75/0.036)^2+O75/1000</f>
        <v>885.5286926343501</v>
      </c>
      <c r="T72" s="66" t="s">
        <v>8</v>
      </c>
      <c r="U72" s="65">
        <f>(0.01*I75/0.0725)^2+O75/1000</f>
        <v>218.49356156468193</v>
      </c>
      <c r="V72" s="66" t="s">
        <v>8</v>
      </c>
      <c r="W72" s="65">
        <f>(0.01*I75/0.13)^2+O75/1000</f>
        <v>68.0972192385465</v>
      </c>
      <c r="X72" s="66" t="s">
        <v>8</v>
      </c>
      <c r="Y72" s="65">
        <f>(0.01*I75/0.196)^2+O75/1000</f>
        <v>30.07216799077237</v>
      </c>
      <c r="Z72" s="66" t="s">
        <v>8</v>
      </c>
      <c r="AA72" s="65">
        <f>(0.01*I75/0.3)^2+O75/1000</f>
        <v>12.95359797762889</v>
      </c>
      <c r="AB72" s="66" t="s">
        <v>8</v>
      </c>
      <c r="AC72" s="65">
        <f>(0.01*I75/0.424)^2+O75/1000</f>
        <v>6.587209313717298</v>
      </c>
      <c r="AD72" s="67" t="s">
        <v>8</v>
      </c>
      <c r="AE72" s="25" t="s">
        <v>54</v>
      </c>
    </row>
    <row r="73" spans="2:32" ht="13.5" customHeight="1" thickBot="1">
      <c r="B73" s="203" t="s">
        <v>26</v>
      </c>
      <c r="C73" s="204"/>
      <c r="D73" s="204"/>
      <c r="E73" s="204"/>
      <c r="F73" s="205"/>
      <c r="G73" s="62">
        <f>$N$5</f>
        <v>20</v>
      </c>
      <c r="H73" s="63" t="s">
        <v>0</v>
      </c>
      <c r="I73" s="138"/>
      <c r="J73" s="139"/>
      <c r="K73" s="139"/>
      <c r="L73" s="139"/>
      <c r="M73" s="139"/>
      <c r="N73" s="139"/>
      <c r="O73" s="139"/>
      <c r="P73" s="221"/>
      <c r="Q73" s="42"/>
      <c r="R73" s="147" t="s">
        <v>56</v>
      </c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9"/>
      <c r="AE73" s="74" t="s">
        <v>60</v>
      </c>
      <c r="AF73" s="73">
        <v>0.3</v>
      </c>
    </row>
    <row r="74" spans="2:32" ht="14.25" customHeight="1" thickBot="1">
      <c r="B74" s="169" t="s">
        <v>52</v>
      </c>
      <c r="C74" s="170"/>
      <c r="D74" s="170"/>
      <c r="E74" s="170"/>
      <c r="F74" s="170"/>
      <c r="G74" s="170"/>
      <c r="H74" s="171"/>
      <c r="I74" s="138"/>
      <c r="J74" s="137"/>
      <c r="K74" s="137"/>
      <c r="L74" s="139"/>
      <c r="M74" s="139"/>
      <c r="N74" s="139"/>
      <c r="O74" s="137"/>
      <c r="P74" s="221"/>
      <c r="Q74" s="42"/>
      <c r="R74" s="150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2"/>
      <c r="AE74" s="70">
        <f>(0.01*I75/AF73)^2+O75/1000</f>
        <v>12.95359797762889</v>
      </c>
      <c r="AF74" s="72" t="s">
        <v>8</v>
      </c>
    </row>
    <row r="75" spans="2:30" ht="13.5" customHeight="1" thickBot="1">
      <c r="B75" s="160" t="s">
        <v>72</v>
      </c>
      <c r="C75" s="161"/>
      <c r="D75" s="162"/>
      <c r="E75" s="172">
        <f>((EXP(LN(($G$23-$G$25)/50)*1.45))*Z10)/100*AB67/10</f>
        <v>1245.5326275000016</v>
      </c>
      <c r="F75" s="173"/>
      <c r="G75" s="173"/>
      <c r="H75" s="175" t="s">
        <v>5</v>
      </c>
      <c r="I75" s="192">
        <f>0.86*E75/$N$7</f>
        <v>107.11580596500013</v>
      </c>
      <c r="J75" s="194" t="s">
        <v>4</v>
      </c>
      <c r="K75" s="131"/>
      <c r="L75" s="196">
        <f>0.0014*(I75)-0.0027</f>
        <v>0.14726212835100017</v>
      </c>
      <c r="M75" s="197"/>
      <c r="N75" s="131" t="s">
        <v>7</v>
      </c>
      <c r="O75" s="200">
        <f>0.0066*(EXP(LN(I75)*1.7681))/10*$U$19*4/100</f>
        <v>204.93588037159915</v>
      </c>
      <c r="P75" s="131" t="s">
        <v>6</v>
      </c>
      <c r="Q75" s="42"/>
      <c r="R75" s="186" t="s">
        <v>30</v>
      </c>
      <c r="S75" s="187"/>
      <c r="T75" s="187"/>
      <c r="U75" s="186" t="s">
        <v>11</v>
      </c>
      <c r="V75" s="188"/>
      <c r="W75" s="189" t="s">
        <v>12</v>
      </c>
      <c r="X75" s="190"/>
      <c r="Y75" s="191" t="s">
        <v>13</v>
      </c>
      <c r="Z75" s="190"/>
      <c r="AA75" s="191" t="s">
        <v>14</v>
      </c>
      <c r="AB75" s="190"/>
      <c r="AC75" s="191" t="s">
        <v>15</v>
      </c>
      <c r="AD75" s="202"/>
    </row>
    <row r="76" spans="2:30" ht="18" customHeight="1" thickBot="1">
      <c r="B76" s="163"/>
      <c r="C76" s="164"/>
      <c r="D76" s="165"/>
      <c r="E76" s="174"/>
      <c r="F76" s="174"/>
      <c r="G76" s="174"/>
      <c r="H76" s="176"/>
      <c r="I76" s="193"/>
      <c r="J76" s="195"/>
      <c r="K76" s="132"/>
      <c r="L76" s="193"/>
      <c r="M76" s="198"/>
      <c r="N76" s="199"/>
      <c r="O76" s="201"/>
      <c r="P76" s="132"/>
      <c r="Q76" s="42"/>
      <c r="R76" s="153">
        <f>(0.01*I75/0.09)^2+O75/1000</f>
        <v>141.85673696100818</v>
      </c>
      <c r="S76" s="154"/>
      <c r="T76" s="69" t="s">
        <v>8</v>
      </c>
      <c r="U76" s="68">
        <f>(0.01*I75/0.19)^2+O75/1000</f>
        <v>31.98830398987731</v>
      </c>
      <c r="V76" s="69" t="s">
        <v>8</v>
      </c>
      <c r="W76" s="70">
        <f>(0.01*I75/0.3)^2+O75/1000</f>
        <v>12.95359797762889</v>
      </c>
      <c r="X76" s="71" t="s">
        <v>8</v>
      </c>
      <c r="Y76" s="70">
        <f>(0.01*I75/0.65)^2+O75/1000</f>
        <v>2.920627214698595</v>
      </c>
      <c r="Z76" s="71" t="s">
        <v>8</v>
      </c>
      <c r="AA76" s="70">
        <f>(0.01*I75/1.01)^2+O75/1000</f>
        <v>1.3297075583964557</v>
      </c>
      <c r="AB76" s="71" t="s">
        <v>8</v>
      </c>
      <c r="AC76" s="70">
        <f>(0.01*I75/1.31)^2+O75/1000</f>
        <v>0.8735330418150791</v>
      </c>
      <c r="AD76" s="72" t="s">
        <v>8</v>
      </c>
    </row>
    <row r="77" ht="13.5" customHeight="1">
      <c r="Q77" s="42"/>
    </row>
    <row r="78" ht="24" customHeight="1">
      <c r="Q78" s="42"/>
    </row>
    <row r="81" spans="30:32" ht="12.75">
      <c r="AD81" s="4"/>
      <c r="AE81" s="4"/>
      <c r="AF81" s="4"/>
    </row>
    <row r="82" spans="30:32" ht="12.75">
      <c r="AD82" s="4"/>
      <c r="AE82" s="244"/>
      <c r="AF82" s="244"/>
    </row>
    <row r="83" spans="30:32" ht="12.75">
      <c r="AD83" s="4"/>
      <c r="AE83" s="244"/>
      <c r="AF83" s="244"/>
    </row>
    <row r="84" spans="30:32" ht="12.75">
      <c r="AD84" s="4"/>
      <c r="AE84" s="244"/>
      <c r="AF84" s="244"/>
    </row>
  </sheetData>
  <sheetProtection password="CDF6" sheet="1"/>
  <mergeCells count="204">
    <mergeCell ref="AE82:AF84"/>
    <mergeCell ref="U2:V2"/>
    <mergeCell ref="P5:U5"/>
    <mergeCell ref="P6:U6"/>
    <mergeCell ref="P7:U7"/>
    <mergeCell ref="B3:R3"/>
    <mergeCell ref="R23:T23"/>
    <mergeCell ref="AB17:AC17"/>
    <mergeCell ref="I27:I28"/>
    <mergeCell ref="O24:P26"/>
    <mergeCell ref="AC23:AD23"/>
    <mergeCell ref="G17:P17"/>
    <mergeCell ref="L27:M28"/>
    <mergeCell ref="O27:O28"/>
    <mergeCell ref="H27:H28"/>
    <mergeCell ref="E27:G28"/>
    <mergeCell ref="U23:V23"/>
    <mergeCell ref="B18:F19"/>
    <mergeCell ref="B27:D28"/>
    <mergeCell ref="L4:N4"/>
    <mergeCell ref="P8:U8"/>
    <mergeCell ref="P9:U9"/>
    <mergeCell ref="B10:P10"/>
    <mergeCell ref="B17:F17"/>
    <mergeCell ref="G19:H19"/>
    <mergeCell ref="Q17:T17"/>
    <mergeCell ref="O19:P19"/>
    <mergeCell ref="Q19:T19"/>
    <mergeCell ref="G18:H18"/>
    <mergeCell ref="B1:AD1"/>
    <mergeCell ref="B25:F25"/>
    <mergeCell ref="B16:AD16"/>
    <mergeCell ref="B21:P21"/>
    <mergeCell ref="R21:AD21"/>
    <mergeCell ref="R22:AD22"/>
    <mergeCell ref="W19:AA19"/>
    <mergeCell ref="AB19:AC19"/>
    <mergeCell ref="W17:AA17"/>
    <mergeCell ref="I18:J18"/>
    <mergeCell ref="B41:F41"/>
    <mergeCell ref="R39:T39"/>
    <mergeCell ref="W33:AA33"/>
    <mergeCell ref="B32:AD32"/>
    <mergeCell ref="AB33:AC33"/>
    <mergeCell ref="J27:K28"/>
    <mergeCell ref="N27:N28"/>
    <mergeCell ref="Q33:T33"/>
    <mergeCell ref="B33:F33"/>
    <mergeCell ref="P27:P28"/>
    <mergeCell ref="AE69:AF71"/>
    <mergeCell ref="L56:N58"/>
    <mergeCell ref="R76:S76"/>
    <mergeCell ref="O35:P35"/>
    <mergeCell ref="Q35:T35"/>
    <mergeCell ref="R37:AD37"/>
    <mergeCell ref="R38:AD38"/>
    <mergeCell ref="W35:AA35"/>
    <mergeCell ref="AB35:AC35"/>
    <mergeCell ref="O40:P42"/>
    <mergeCell ref="I70:P71"/>
    <mergeCell ref="I72:K74"/>
    <mergeCell ref="L72:N74"/>
    <mergeCell ref="O72:P74"/>
    <mergeCell ref="R56:S56"/>
    <mergeCell ref="R73:AD74"/>
    <mergeCell ref="O56:P58"/>
    <mergeCell ref="U59:V59"/>
    <mergeCell ref="W59:X59"/>
    <mergeCell ref="Y59:Z59"/>
    <mergeCell ref="L43:M44"/>
    <mergeCell ref="N43:N44"/>
    <mergeCell ref="O43:O44"/>
    <mergeCell ref="W51:AA51"/>
    <mergeCell ref="AE53:AF55"/>
    <mergeCell ref="O51:P51"/>
    <mergeCell ref="Q51:T51"/>
    <mergeCell ref="R44:S44"/>
    <mergeCell ref="R43:T43"/>
    <mergeCell ref="B43:D44"/>
    <mergeCell ref="E43:G44"/>
    <mergeCell ref="H43:H44"/>
    <mergeCell ref="I43:I44"/>
    <mergeCell ref="B48:AD48"/>
    <mergeCell ref="B49:F49"/>
    <mergeCell ref="G49:P49"/>
    <mergeCell ref="Q49:T49"/>
    <mergeCell ref="W49:AA49"/>
    <mergeCell ref="AB49:AC49"/>
    <mergeCell ref="R55:T55"/>
    <mergeCell ref="U55:V55"/>
    <mergeCell ref="W55:X55"/>
    <mergeCell ref="Y55:Z55"/>
    <mergeCell ref="R57:AD58"/>
    <mergeCell ref="AC55:AD55"/>
    <mergeCell ref="AB51:AC51"/>
    <mergeCell ref="R53:AD53"/>
    <mergeCell ref="AA55:AB55"/>
    <mergeCell ref="B59:D60"/>
    <mergeCell ref="E59:G60"/>
    <mergeCell ref="H59:H60"/>
    <mergeCell ref="I59:I60"/>
    <mergeCell ref="AC59:AD59"/>
    <mergeCell ref="B57:F57"/>
    <mergeCell ref="R54:AD54"/>
    <mergeCell ref="AA59:AB59"/>
    <mergeCell ref="G65:P65"/>
    <mergeCell ref="Q65:T65"/>
    <mergeCell ref="W65:AA65"/>
    <mergeCell ref="AB65:AC65"/>
    <mergeCell ref="P59:P60"/>
    <mergeCell ref="J59:K60"/>
    <mergeCell ref="L59:M60"/>
    <mergeCell ref="N59:N60"/>
    <mergeCell ref="O59:O60"/>
    <mergeCell ref="R59:T59"/>
    <mergeCell ref="W67:AA67"/>
    <mergeCell ref="AB67:AC67"/>
    <mergeCell ref="B69:P69"/>
    <mergeCell ref="R69:AD69"/>
    <mergeCell ref="O67:P67"/>
    <mergeCell ref="Q67:T67"/>
    <mergeCell ref="G67:H67"/>
    <mergeCell ref="R60:S60"/>
    <mergeCell ref="O66:P66"/>
    <mergeCell ref="AA75:AB75"/>
    <mergeCell ref="AC75:AD75"/>
    <mergeCell ref="B73:F73"/>
    <mergeCell ref="R70:AD70"/>
    <mergeCell ref="R71:T71"/>
    <mergeCell ref="U71:V71"/>
    <mergeCell ref="W71:X71"/>
    <mergeCell ref="Y71:Z71"/>
    <mergeCell ref="AA71:AB71"/>
    <mergeCell ref="AC71:AD71"/>
    <mergeCell ref="R75:T75"/>
    <mergeCell ref="U75:V75"/>
    <mergeCell ref="W75:X75"/>
    <mergeCell ref="Y75:Z75"/>
    <mergeCell ref="I75:I76"/>
    <mergeCell ref="P75:P76"/>
    <mergeCell ref="J75:K76"/>
    <mergeCell ref="L75:M76"/>
    <mergeCell ref="N75:N76"/>
    <mergeCell ref="O75:O76"/>
    <mergeCell ref="B75:D76"/>
    <mergeCell ref="B26:H26"/>
    <mergeCell ref="B42:H42"/>
    <mergeCell ref="B58:H58"/>
    <mergeCell ref="B74:H74"/>
    <mergeCell ref="E75:G76"/>
    <mergeCell ref="H75:H76"/>
    <mergeCell ref="B37:P37"/>
    <mergeCell ref="B64:AD64"/>
    <mergeCell ref="B65:F65"/>
    <mergeCell ref="AA39:AB39"/>
    <mergeCell ref="Y39:Z39"/>
    <mergeCell ref="AE21:AF23"/>
    <mergeCell ref="R25:AD26"/>
    <mergeCell ref="R24:S24"/>
    <mergeCell ref="R28:S28"/>
    <mergeCell ref="R27:T27"/>
    <mergeCell ref="W23:X23"/>
    <mergeCell ref="Y23:Z23"/>
    <mergeCell ref="AA23:AB23"/>
    <mergeCell ref="G34:H34"/>
    <mergeCell ref="I34:J34"/>
    <mergeCell ref="G33:P33"/>
    <mergeCell ref="O34:P34"/>
    <mergeCell ref="AE37:AF39"/>
    <mergeCell ref="R41:AD42"/>
    <mergeCell ref="R40:S40"/>
    <mergeCell ref="AC39:AD39"/>
    <mergeCell ref="U39:V39"/>
    <mergeCell ref="W39:X39"/>
    <mergeCell ref="O50:P50"/>
    <mergeCell ref="I40:K42"/>
    <mergeCell ref="L40:N42"/>
    <mergeCell ref="K18:L18"/>
    <mergeCell ref="M18:N18"/>
    <mergeCell ref="O18:P18"/>
    <mergeCell ref="I22:P23"/>
    <mergeCell ref="I24:K26"/>
    <mergeCell ref="L24:N26"/>
    <mergeCell ref="J43:K44"/>
    <mergeCell ref="I66:J66"/>
    <mergeCell ref="K66:L66"/>
    <mergeCell ref="G50:H50"/>
    <mergeCell ref="I50:J50"/>
    <mergeCell ref="K50:L50"/>
    <mergeCell ref="M50:N50"/>
    <mergeCell ref="G51:H51"/>
    <mergeCell ref="B53:P53"/>
    <mergeCell ref="I54:P55"/>
    <mergeCell ref="I56:K58"/>
    <mergeCell ref="M66:N66"/>
    <mergeCell ref="M34:N34"/>
    <mergeCell ref="G35:H35"/>
    <mergeCell ref="I38:P39"/>
    <mergeCell ref="B34:F35"/>
    <mergeCell ref="B50:F51"/>
    <mergeCell ref="B66:F67"/>
    <mergeCell ref="K34:L34"/>
    <mergeCell ref="P43:P44"/>
    <mergeCell ref="G66:H66"/>
  </mergeCells>
  <printOptions/>
  <pageMargins left="0.23" right="0.12" top="0.23" bottom="0.21" header="0.15" footer="0.16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Oplatek</dc:creator>
  <cp:keywords/>
  <dc:description/>
  <cp:lastModifiedBy>Uživatel</cp:lastModifiedBy>
  <cp:lastPrinted>2016-10-17T11:23:45Z</cp:lastPrinted>
  <dcterms:created xsi:type="dcterms:W3CDTF">2009-08-14T09:45:34Z</dcterms:created>
  <dcterms:modified xsi:type="dcterms:W3CDTF">2020-03-25T08:47:19Z</dcterms:modified>
  <cp:category/>
  <cp:version/>
  <cp:contentType/>
  <cp:contentStatus/>
</cp:coreProperties>
</file>