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U:\Energitech\Obchod\REKLAMA\2025\FOX STEP\KONFIGURÁTOR\"/>
    </mc:Choice>
  </mc:AlternateContent>
  <xr:revisionPtr revIDLastSave="0" documentId="13_ncr:1_{0DA5702E-1C76-498F-BF65-00BF997210F6}" xr6:coauthVersionLast="47" xr6:coauthVersionMax="47" xr10:uidLastSave="{00000000-0000-0000-0000-000000000000}"/>
  <bookViews>
    <workbookView xWindow="28680" yWindow="-120" windowWidth="29040" windowHeight="17640" firstSheet="3" activeTab="3" xr2:uid="{5319EECB-2946-415F-B272-8C2F297FCA29}"/>
  </bookViews>
  <sheets>
    <sheet name="ceny_ventil" sheetId="7" state="hidden" r:id="rId1"/>
    <sheet name="ceny" sheetId="1" state="hidden" r:id="rId2"/>
    <sheet name="FST-N+Q" sheetId="5" state="hidden" r:id="rId3"/>
    <sheet name="Kalkula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8" i="7" l="1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C22" i="7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27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C21" i="1"/>
  <c r="X21" i="6"/>
  <c r="J21" i="6"/>
  <c r="X14" i="6"/>
  <c r="U23" i="6"/>
  <c r="U24" i="6"/>
  <c r="U25" i="6"/>
  <c r="U26" i="6"/>
  <c r="U27" i="6"/>
  <c r="U28" i="6"/>
  <c r="U29" i="6"/>
  <c r="U22" i="6"/>
  <c r="U16" i="6"/>
  <c r="U17" i="6"/>
  <c r="U15" i="6"/>
  <c r="G23" i="6"/>
  <c r="G24" i="6"/>
  <c r="G25" i="6"/>
  <c r="G26" i="6"/>
  <c r="G27" i="6"/>
  <c r="G28" i="6"/>
  <c r="G29" i="6"/>
  <c r="G22" i="6"/>
  <c r="G17" i="6"/>
  <c r="G16" i="6"/>
  <c r="G15" i="6"/>
  <c r="AM25" i="6" a="1"/>
  <c r="AM25" i="6" s="1"/>
  <c r="AI25" i="6" a="1"/>
  <c r="AI25" i="6" s="1"/>
  <c r="AC25" i="6"/>
  <c r="AM24" i="6" a="1"/>
  <c r="AM24" i="6" s="1"/>
  <c r="AI24" i="6" a="1"/>
  <c r="AI24" i="6" s="1"/>
  <c r="AC24" i="6"/>
  <c r="I7" i="5" l="1"/>
  <c r="I8" i="5"/>
  <c r="R6" i="5"/>
  <c r="E27" i="5" s="1"/>
  <c r="R7" i="5"/>
  <c r="S8" i="5" s="1"/>
  <c r="AC29" i="6"/>
  <c r="AC28" i="6"/>
  <c r="AC27" i="6"/>
  <c r="AC26" i="6"/>
  <c r="AC23" i="6"/>
  <c r="AC22" i="6"/>
  <c r="AC17" i="6"/>
  <c r="AC16" i="6"/>
  <c r="AC15" i="6"/>
  <c r="Q9" i="6"/>
  <c r="Q10" i="6"/>
  <c r="Q7" i="6"/>
  <c r="Q6" i="6"/>
  <c r="Q8" i="6"/>
  <c r="AM16" i="6" a="1"/>
  <c r="AM16" i="6" s="1"/>
  <c r="AM17" i="6" a="1"/>
  <c r="AM17" i="6" s="1"/>
  <c r="AM18" i="6" a="1"/>
  <c r="AM18" i="6" s="1"/>
  <c r="AM22" i="6" a="1"/>
  <c r="AM22" i="6" s="1"/>
  <c r="AM23" i="6" a="1"/>
  <c r="AM23" i="6" s="1"/>
  <c r="AM26" i="6" a="1"/>
  <c r="AM26" i="6" s="1"/>
  <c r="AM27" i="6" a="1"/>
  <c r="AM27" i="6" s="1"/>
  <c r="AM28" i="6" a="1"/>
  <c r="AM28" i="6" s="1"/>
  <c r="AM29" i="6" a="1"/>
  <c r="AM29" i="6" s="1"/>
  <c r="AM15" i="6" a="1"/>
  <c r="AM15" i="6" s="1"/>
  <c r="AI16" i="6" a="1"/>
  <c r="AI16" i="6" s="1"/>
  <c r="AI17" i="6" a="1"/>
  <c r="AI17" i="6" s="1"/>
  <c r="AI18" i="6" a="1"/>
  <c r="AI18" i="6" s="1"/>
  <c r="AI22" i="6" a="1"/>
  <c r="AI22" i="6" s="1"/>
  <c r="AI23" i="6" a="1"/>
  <c r="AI23" i="6" s="1"/>
  <c r="AI26" i="6" a="1"/>
  <c r="AI26" i="6" s="1"/>
  <c r="AI27" i="6" a="1"/>
  <c r="AI27" i="6" s="1"/>
  <c r="AI28" i="6" a="1"/>
  <c r="AI28" i="6" s="1"/>
  <c r="AI29" i="6" a="1"/>
  <c r="AI29" i="6" s="1"/>
  <c r="AI15" i="6" a="1"/>
  <c r="AI15" i="6" s="1"/>
  <c r="P8" i="6"/>
  <c r="P9" i="6" s="1" a="1"/>
  <c r="P9" i="6" s="1"/>
  <c r="J14" i="6"/>
  <c r="S16" i="6"/>
  <c r="S17" i="6"/>
  <c r="S15" i="6"/>
  <c r="E16" i="6"/>
  <c r="E17" i="6"/>
  <c r="E15" i="6"/>
  <c r="I6" i="5"/>
  <c r="AE6" i="5" s="1"/>
  <c r="AB57" i="5"/>
  <c r="Z56" i="5"/>
  <c r="X57" i="5" s="1"/>
  <c r="X56" i="5"/>
  <c r="V57" i="5" s="1"/>
  <c r="S55" i="5"/>
  <c r="E26" i="5" l="1"/>
  <c r="E35" i="5"/>
  <c r="E34" i="5"/>
  <c r="E25" i="5"/>
  <c r="AE5" i="5"/>
  <c r="P10" i="6" a="1"/>
  <c r="P10" i="6" s="1"/>
  <c r="E14" i="5"/>
  <c r="E13" i="5"/>
  <c r="T5" i="5"/>
  <c r="L12" i="5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S7" i="5"/>
  <c r="AE7" i="5"/>
  <c r="J6" i="5"/>
  <c r="S6" i="5"/>
  <c r="E15" i="5"/>
  <c r="E17" i="5"/>
  <c r="E28" i="5"/>
  <c r="E29" i="5"/>
  <c r="E32" i="5"/>
  <c r="E36" i="5"/>
  <c r="E38" i="5"/>
  <c r="E19" i="5"/>
  <c r="E33" i="5"/>
  <c r="E30" i="5"/>
  <c r="E37" i="5"/>
  <c r="E39" i="5"/>
  <c r="E18" i="5"/>
  <c r="E23" i="5"/>
  <c r="T4" i="5"/>
  <c r="V53" i="5" s="1"/>
  <c r="Z51" i="5" s="1"/>
  <c r="X52" i="5" s="1"/>
  <c r="E24" i="5"/>
  <c r="M23" i="6" a="1"/>
  <c r="M22" i="6" a="1"/>
  <c r="AA23" i="6" a="1"/>
  <c r="M16" i="6" a="1"/>
  <c r="M29" i="6" a="1"/>
  <c r="AA22" i="6" a="1"/>
  <c r="AA27" i="6" a="1"/>
  <c r="M17" i="6" a="1"/>
  <c r="AA28" i="6" a="1"/>
  <c r="AA15" i="6" a="1"/>
  <c r="AA17" i="6" a="1"/>
  <c r="M28" i="6" a="1"/>
  <c r="M15" i="6" a="1"/>
  <c r="AA26" i="6" a="1"/>
  <c r="M27" i="6" a="1"/>
  <c r="AA16" i="6" a="1"/>
  <c r="M26" i="6" a="1"/>
  <c r="AA29" i="6" a="1"/>
  <c r="Z35" i="5" l="1"/>
  <c r="Z34" i="5" s="1"/>
  <c r="Z26" i="5"/>
  <c r="Z25" i="5" s="1"/>
  <c r="X35" i="5"/>
  <c r="X34" i="5" s="1"/>
  <c r="U26" i="5"/>
  <c r="U25" i="5" s="1"/>
  <c r="V35" i="5"/>
  <c r="V34" i="5" s="1"/>
  <c r="U35" i="5"/>
  <c r="U34" i="5" s="1"/>
  <c r="T35" i="5"/>
  <c r="T34" i="5" s="1"/>
  <c r="S35" i="5"/>
  <c r="S34" i="5" s="1"/>
  <c r="S26" i="5"/>
  <c r="R35" i="5"/>
  <c r="R34" i="5" s="1"/>
  <c r="R26" i="5"/>
  <c r="R25" i="5" s="1"/>
  <c r="Q35" i="5"/>
  <c r="Q34" i="5" s="1"/>
  <c r="P35" i="5"/>
  <c r="P34" i="5" s="1"/>
  <c r="P26" i="5"/>
  <c r="P25" i="5" s="1"/>
  <c r="N35" i="5"/>
  <c r="N34" i="5" s="1"/>
  <c r="N26" i="5"/>
  <c r="N25" i="5" s="1"/>
  <c r="AG35" i="5"/>
  <c r="AG34" i="5" s="1"/>
  <c r="M35" i="5"/>
  <c r="M34" i="5" s="1"/>
  <c r="AG26" i="5"/>
  <c r="AG25" i="5" s="1"/>
  <c r="M26" i="5"/>
  <c r="M25" i="5" s="1"/>
  <c r="AF35" i="5"/>
  <c r="AF34" i="5" s="1"/>
  <c r="L35" i="5"/>
  <c r="L34" i="5" s="1"/>
  <c r="AF26" i="5"/>
  <c r="AF25" i="5" s="1"/>
  <c r="L26" i="5"/>
  <c r="L25" i="5" s="1"/>
  <c r="AD35" i="5"/>
  <c r="AD34" i="5" s="1"/>
  <c r="AD26" i="5"/>
  <c r="AD25" i="5" s="1"/>
  <c r="AB35" i="5"/>
  <c r="AB34" i="5" s="1"/>
  <c r="AB26" i="5"/>
  <c r="AB25" i="5" s="1"/>
  <c r="AA35" i="5"/>
  <c r="AA34" i="5" s="1"/>
  <c r="AA26" i="5"/>
  <c r="AA25" i="5" s="1"/>
  <c r="X26" i="5"/>
  <c r="X25" i="5" s="1"/>
  <c r="V26" i="5"/>
  <c r="V25" i="5" s="1"/>
  <c r="T26" i="5"/>
  <c r="T25" i="5" s="1"/>
  <c r="O35" i="5"/>
  <c r="O34" i="5" s="1"/>
  <c r="O26" i="5"/>
  <c r="O25" i="5" s="1"/>
  <c r="AH35" i="5"/>
  <c r="AH34" i="5" s="1"/>
  <c r="AH26" i="5"/>
  <c r="AH25" i="5" s="1"/>
  <c r="AE35" i="5"/>
  <c r="AE34" i="5" s="1"/>
  <c r="AE26" i="5"/>
  <c r="AE25" i="5" s="1"/>
  <c r="AC35" i="5"/>
  <c r="AC26" i="5"/>
  <c r="AC25" i="5" s="1"/>
  <c r="Y35" i="5"/>
  <c r="Y34" i="5" s="1"/>
  <c r="Y26" i="5"/>
  <c r="Y25" i="5" s="1"/>
  <c r="W35" i="5"/>
  <c r="W34" i="5" s="1"/>
  <c r="W26" i="5"/>
  <c r="W25" i="5" s="1"/>
  <c r="Q26" i="5"/>
  <c r="Q25" i="5" s="1"/>
  <c r="U11" i="5"/>
  <c r="U16" i="5" s="1"/>
  <c r="AA23" i="6"/>
  <c r="AA27" i="6"/>
  <c r="AA26" i="6"/>
  <c r="AA28" i="6"/>
  <c r="AA29" i="6"/>
  <c r="AA22" i="6"/>
  <c r="AA16" i="6"/>
  <c r="AA17" i="6"/>
  <c r="AA15" i="6"/>
  <c r="M23" i="6"/>
  <c r="M27" i="6"/>
  <c r="M26" i="6"/>
  <c r="M28" i="6"/>
  <c r="M29" i="6"/>
  <c r="M22" i="6"/>
  <c r="M16" i="6"/>
  <c r="M17" i="6"/>
  <c r="M15" i="6"/>
  <c r="X51" i="5"/>
  <c r="V52" i="5" s="1"/>
  <c r="M13" i="5" s="1"/>
  <c r="S31" i="5"/>
  <c r="AA24" i="6" a="1"/>
  <c r="L25" i="6" a="1"/>
  <c r="AA25" i="6" a="1"/>
  <c r="Z25" i="6" a="1"/>
  <c r="M24" i="6" a="1"/>
  <c r="M25" i="6" a="1"/>
  <c r="Z25" i="6" l="1"/>
  <c r="AC34" i="5"/>
  <c r="L25" i="6"/>
  <c r="N25" i="6" s="1"/>
  <c r="AA25" i="6"/>
  <c r="M24" i="6"/>
  <c r="AA24" i="6"/>
  <c r="M25" i="6"/>
  <c r="S25" i="5"/>
  <c r="U21" i="5"/>
  <c r="AD13" i="5"/>
  <c r="AD15" i="5" s="1"/>
  <c r="X13" i="5"/>
  <c r="X15" i="5" s="1"/>
  <c r="AA13" i="5"/>
  <c r="AA14" i="5" s="1"/>
  <c r="N13" i="5"/>
  <c r="N15" i="5" s="1"/>
  <c r="M15" i="5"/>
  <c r="M14" i="5"/>
  <c r="V13" i="5"/>
  <c r="V15" i="5" s="1"/>
  <c r="Q13" i="5"/>
  <c r="Q14" i="5" s="1"/>
  <c r="P13" i="5"/>
  <c r="P15" i="5" s="1"/>
  <c r="L13" i="5"/>
  <c r="L15" i="5" s="1"/>
  <c r="L17" i="6" s="1"/>
  <c r="N17" i="6" s="1"/>
  <c r="Y13" i="5"/>
  <c r="Y14" i="5" s="1"/>
  <c r="R13" i="5"/>
  <c r="R14" i="5" s="1"/>
  <c r="AF13" i="5"/>
  <c r="AF15" i="5" s="1"/>
  <c r="O13" i="5"/>
  <c r="O15" i="5" s="1"/>
  <c r="W13" i="5"/>
  <c r="W14" i="5" s="1"/>
  <c r="T13" i="5"/>
  <c r="T14" i="5" s="1"/>
  <c r="U13" i="5"/>
  <c r="U14" i="5" s="1"/>
  <c r="S13" i="5"/>
  <c r="S14" i="5" s="1"/>
  <c r="AH13" i="5"/>
  <c r="AH14" i="5" s="1"/>
  <c r="AC13" i="5"/>
  <c r="AC15" i="5" s="1"/>
  <c r="T54" i="5"/>
  <c r="AG13" i="5"/>
  <c r="AE13" i="5"/>
  <c r="AB13" i="5"/>
  <c r="Z13" i="5"/>
  <c r="Z24" i="6" a="1"/>
  <c r="L24" i="6" a="1"/>
  <c r="Z24" i="6" l="1"/>
  <c r="L24" i="6"/>
  <c r="N24" i="6" s="1"/>
  <c r="V14" i="5"/>
  <c r="AA15" i="5"/>
  <c r="AD14" i="5"/>
  <c r="X14" i="5"/>
  <c r="N14" i="5"/>
  <c r="L14" i="5"/>
  <c r="L16" i="6" s="1"/>
  <c r="N16" i="6" s="1"/>
  <c r="Q15" i="5"/>
  <c r="Y15" i="5"/>
  <c r="AH15" i="5"/>
  <c r="AF14" i="5"/>
  <c r="O14" i="5"/>
  <c r="W15" i="5"/>
  <c r="T15" i="5"/>
  <c r="U15" i="5"/>
  <c r="R15" i="5"/>
  <c r="S15" i="5"/>
  <c r="L15" i="6"/>
  <c r="N15" i="6" s="1"/>
  <c r="AC14" i="5"/>
  <c r="P14" i="5"/>
  <c r="Z15" i="5"/>
  <c r="Z14" i="5"/>
  <c r="AB14" i="5"/>
  <c r="AB15" i="5"/>
  <c r="Z33" i="5"/>
  <c r="P39" i="5"/>
  <c r="AF39" i="5"/>
  <c r="AF38" i="5" s="1"/>
  <c r="AH24" i="5"/>
  <c r="AH23" i="5" s="1"/>
  <c r="AH58" i="5" s="1"/>
  <c r="AF24" i="5"/>
  <c r="AF23" i="5" s="1"/>
  <c r="AF58" i="5" s="1"/>
  <c r="U39" i="5"/>
  <c r="U38" i="5" s="1"/>
  <c r="AD39" i="5"/>
  <c r="W33" i="5"/>
  <c r="U28" i="5"/>
  <c r="U27" i="5" s="1"/>
  <c r="U59" i="5" s="1"/>
  <c r="R24" i="5"/>
  <c r="R23" i="5" s="1"/>
  <c r="R58" i="5" s="1"/>
  <c r="V28" i="5"/>
  <c r="V27" i="5" s="1"/>
  <c r="V30" i="5"/>
  <c r="V29" i="5" s="1"/>
  <c r="V60" i="5" s="1"/>
  <c r="U33" i="5"/>
  <c r="AF28" i="5"/>
  <c r="AF27" i="5" s="1"/>
  <c r="AD33" i="5"/>
  <c r="Y39" i="5"/>
  <c r="Y38" i="5" s="1"/>
  <c r="AE33" i="5"/>
  <c r="V24" i="5"/>
  <c r="V23" i="5" s="1"/>
  <c r="V58" i="5" s="1"/>
  <c r="AF30" i="5"/>
  <c r="AF29" i="5" s="1"/>
  <c r="AF60" i="5" s="1"/>
  <c r="P24" i="5"/>
  <c r="P23" i="5" s="1"/>
  <c r="P58" i="5" s="1"/>
  <c r="AF37" i="5"/>
  <c r="AF36" i="5" s="1"/>
  <c r="Z30" i="5"/>
  <c r="Z29" i="5" s="1"/>
  <c r="U37" i="5"/>
  <c r="S33" i="5"/>
  <c r="Q33" i="5"/>
  <c r="O33" i="5"/>
  <c r="L30" i="5"/>
  <c r="L29" i="5" s="1"/>
  <c r="L60" i="5" s="1"/>
  <c r="S39" i="5"/>
  <c r="AE37" i="5"/>
  <c r="AB30" i="5"/>
  <c r="AB29" i="5" s="1"/>
  <c r="Q24" i="5"/>
  <c r="Q23" i="5" s="1"/>
  <c r="Q58" i="5" s="1"/>
  <c r="L39" i="5"/>
  <c r="P33" i="5"/>
  <c r="N24" i="5"/>
  <c r="N23" i="5" s="1"/>
  <c r="N58" i="5" s="1"/>
  <c r="Z24" i="5"/>
  <c r="Z23" i="5" s="1"/>
  <c r="Z58" i="5" s="1"/>
  <c r="X37" i="5"/>
  <c r="X36" i="5" s="1"/>
  <c r="Z37" i="5"/>
  <c r="AB24" i="5"/>
  <c r="AB23" i="5" s="1"/>
  <c r="AB58" i="5" s="1"/>
  <c r="R33" i="5"/>
  <c r="V37" i="5"/>
  <c r="V36" i="5" s="1"/>
  <c r="AE28" i="5"/>
  <c r="AE27" i="5" s="1"/>
  <c r="AC37" i="5"/>
  <c r="Y28" i="5"/>
  <c r="Y27" i="5" s="1"/>
  <c r="Y59" i="5" s="1"/>
  <c r="T33" i="5"/>
  <c r="T30" i="5"/>
  <c r="T29" i="5" s="1"/>
  <c r="X30" i="5"/>
  <c r="X29" i="5" s="1"/>
  <c r="X60" i="5" s="1"/>
  <c r="Y37" i="5"/>
  <c r="S30" i="5"/>
  <c r="AG39" i="5"/>
  <c r="AH39" i="5"/>
  <c r="AH38" i="5" s="1"/>
  <c r="AG37" i="5"/>
  <c r="X28" i="5"/>
  <c r="X27" i="5" s="1"/>
  <c r="N28" i="5"/>
  <c r="N27" i="5" s="1"/>
  <c r="W37" i="5"/>
  <c r="M30" i="5"/>
  <c r="M29" i="5" s="1"/>
  <c r="M60" i="5" s="1"/>
  <c r="T28" i="5"/>
  <c r="T27" i="5" s="1"/>
  <c r="T59" i="5" s="1"/>
  <c r="Y24" i="5"/>
  <c r="Y23" i="5" s="1"/>
  <c r="Y58" i="5" s="1"/>
  <c r="AC30" i="5"/>
  <c r="X24" i="5"/>
  <c r="X23" i="5" s="1"/>
  <c r="X58" i="5" s="1"/>
  <c r="S24" i="5"/>
  <c r="U24" i="5"/>
  <c r="U23" i="5" s="1"/>
  <c r="U58" i="5" s="1"/>
  <c r="R28" i="5"/>
  <c r="R27" i="5" s="1"/>
  <c r="R59" i="5" s="1"/>
  <c r="R30" i="5"/>
  <c r="R29" i="5" s="1"/>
  <c r="M39" i="5"/>
  <c r="AG28" i="5"/>
  <c r="AG27" i="5" s="1"/>
  <c r="P28" i="5"/>
  <c r="P27" i="5" s="1"/>
  <c r="Q39" i="5"/>
  <c r="U30" i="5"/>
  <c r="U29" i="5" s="1"/>
  <c r="N39" i="5"/>
  <c r="AH37" i="5"/>
  <c r="AH36" i="5" s="1"/>
  <c r="P30" i="5"/>
  <c r="P29" i="5" s="1"/>
  <c r="P60" i="5" s="1"/>
  <c r="Y30" i="5"/>
  <c r="Y29" i="5" s="1"/>
  <c r="AB28" i="5"/>
  <c r="AB27" i="5" s="1"/>
  <c r="O39" i="5"/>
  <c r="L33" i="5"/>
  <c r="O28" i="5"/>
  <c r="O27" i="5" s="1"/>
  <c r="T24" i="5"/>
  <c r="T23" i="5" s="1"/>
  <c r="T58" i="5" s="1"/>
  <c r="AE39" i="5"/>
  <c r="O37" i="5"/>
  <c r="O36" i="5" s="1"/>
  <c r="W30" i="5"/>
  <c r="W29" i="5" s="1"/>
  <c r="N30" i="5"/>
  <c r="N29" i="5" s="1"/>
  <c r="N60" i="5" s="1"/>
  <c r="AB33" i="5"/>
  <c r="AA39" i="5"/>
  <c r="AA38" i="5" s="1"/>
  <c r="Z39" i="5"/>
  <c r="M37" i="5"/>
  <c r="AA24" i="5"/>
  <c r="AA23" i="5" s="1"/>
  <c r="AA58" i="5" s="1"/>
  <c r="AG24" i="5"/>
  <c r="AG23" i="5" s="1"/>
  <c r="AG58" i="5" s="1"/>
  <c r="Y33" i="5"/>
  <c r="AF33" i="5"/>
  <c r="W28" i="5"/>
  <c r="W27" i="5" s="1"/>
  <c r="W59" i="5" s="1"/>
  <c r="R37" i="5"/>
  <c r="AA33" i="5"/>
  <c r="W24" i="5"/>
  <c r="W23" i="5" s="1"/>
  <c r="W58" i="5" s="1"/>
  <c r="L28" i="5"/>
  <c r="L27" i="5" s="1"/>
  <c r="AB37" i="5"/>
  <c r="L37" i="5"/>
  <c r="L36" i="5" s="1"/>
  <c r="T39" i="5"/>
  <c r="T38" i="5" s="1"/>
  <c r="S28" i="5"/>
  <c r="Q30" i="5"/>
  <c r="Q29" i="5" s="1"/>
  <c r="N33" i="5"/>
  <c r="AA30" i="5"/>
  <c r="AA29" i="5" s="1"/>
  <c r="AE30" i="5"/>
  <c r="AE29" i="5" s="1"/>
  <c r="AC39" i="5"/>
  <c r="AC33" i="5"/>
  <c r="AC24" i="5"/>
  <c r="AC23" i="5" s="1"/>
  <c r="AC58" i="5" s="1"/>
  <c r="X33" i="5"/>
  <c r="T37" i="5"/>
  <c r="Z28" i="5"/>
  <c r="Z27" i="5" s="1"/>
  <c r="AH28" i="5"/>
  <c r="AH27" i="5" s="1"/>
  <c r="AH59" i="5" s="1"/>
  <c r="AD28" i="5"/>
  <c r="AD27" i="5" s="1"/>
  <c r="AG30" i="5"/>
  <c r="AG29" i="5" s="1"/>
  <c r="P37" i="5"/>
  <c r="P36" i="5" s="1"/>
  <c r="S37" i="5"/>
  <c r="AD37" i="5"/>
  <c r="AD36" i="5" s="1"/>
  <c r="AH30" i="5"/>
  <c r="AH29" i="5" s="1"/>
  <c r="AE24" i="5"/>
  <c r="AE23" i="5" s="1"/>
  <c r="AE58" i="5" s="1"/>
  <c r="M24" i="5"/>
  <c r="M23" i="5" s="1"/>
  <c r="M58" i="5" s="1"/>
  <c r="M28" i="5"/>
  <c r="M27" i="5" s="1"/>
  <c r="M59" i="5" s="1"/>
  <c r="AH33" i="5"/>
  <c r="X39" i="5"/>
  <c r="Q37" i="5"/>
  <c r="O24" i="5"/>
  <c r="O23" i="5" s="1"/>
  <c r="O58" i="5" s="1"/>
  <c r="W39" i="5"/>
  <c r="M33" i="5"/>
  <c r="AB39" i="5"/>
  <c r="L24" i="5"/>
  <c r="L23" i="5" s="1"/>
  <c r="L58" i="5" s="1"/>
  <c r="V39" i="5"/>
  <c r="V38" i="5" s="1"/>
  <c r="Q28" i="5"/>
  <c r="Q27" i="5" s="1"/>
  <c r="Q59" i="5" s="1"/>
  <c r="AG33" i="5"/>
  <c r="AC28" i="5"/>
  <c r="AC27" i="5" s="1"/>
  <c r="AD24" i="5"/>
  <c r="AD23" i="5" s="1"/>
  <c r="AD58" i="5" s="1"/>
  <c r="R39" i="5"/>
  <c r="N37" i="5"/>
  <c r="N36" i="5" s="1"/>
  <c r="AD30" i="5"/>
  <c r="AD29" i="5" s="1"/>
  <c r="AD60" i="5" s="1"/>
  <c r="V33" i="5"/>
  <c r="AA28" i="5"/>
  <c r="AA27" i="5" s="1"/>
  <c r="AA59" i="5" s="1"/>
  <c r="O30" i="5"/>
  <c r="O29" i="5" s="1"/>
  <c r="O60" i="5" s="1"/>
  <c r="AA37" i="5"/>
  <c r="AE14" i="5"/>
  <c r="AE15" i="5"/>
  <c r="AG14" i="5"/>
  <c r="AG15" i="5"/>
  <c r="Z27" i="6" a="1"/>
  <c r="L27" i="6" a="1"/>
  <c r="Z23" i="6" a="1"/>
  <c r="L29" i="6" a="1"/>
  <c r="Z29" i="6" a="1"/>
  <c r="L23" i="6" a="1"/>
  <c r="Z29" i="6" l="1"/>
  <c r="L29" i="6"/>
  <c r="N29" i="6" s="1"/>
  <c r="Z27" i="6"/>
  <c r="AB27" i="6" s="1"/>
  <c r="Z23" i="6"/>
  <c r="AB23" i="6" s="1"/>
  <c r="AC29" i="5"/>
  <c r="AC36" i="5"/>
  <c r="AB25" i="6"/>
  <c r="V59" i="5"/>
  <c r="AD59" i="5"/>
  <c r="X59" i="5"/>
  <c r="N59" i="5"/>
  <c r="AA60" i="5"/>
  <c r="L59" i="5"/>
  <c r="AF59" i="5"/>
  <c r="O59" i="5"/>
  <c r="T60" i="5"/>
  <c r="Q60" i="5"/>
  <c r="AH60" i="5"/>
  <c r="R60" i="5"/>
  <c r="W60" i="5"/>
  <c r="U60" i="5"/>
  <c r="Y60" i="5"/>
  <c r="Z59" i="5"/>
  <c r="AC59" i="5"/>
  <c r="P59" i="5"/>
  <c r="AB59" i="5"/>
  <c r="L23" i="6"/>
  <c r="N23" i="6" s="1"/>
  <c r="L27" i="6"/>
  <c r="AB29" i="6"/>
  <c r="S23" i="5"/>
  <c r="S27" i="5"/>
  <c r="S29" i="5"/>
  <c r="S38" i="5"/>
  <c r="AD18" i="5"/>
  <c r="U19" i="5"/>
  <c r="V18" i="5"/>
  <c r="AG59" i="5"/>
  <c r="AF18" i="5"/>
  <c r="P18" i="5"/>
  <c r="AG60" i="5"/>
  <c r="AB60" i="5"/>
  <c r="W36" i="5"/>
  <c r="W18" i="5"/>
  <c r="AB32" i="5"/>
  <c r="AB17" i="5"/>
  <c r="P38" i="5"/>
  <c r="P19" i="5"/>
  <c r="AH18" i="5"/>
  <c r="AB36" i="5"/>
  <c r="AB18" i="5"/>
  <c r="Y36" i="5"/>
  <c r="Y18" i="5"/>
  <c r="AD32" i="5"/>
  <c r="AD17" i="5"/>
  <c r="X18" i="5"/>
  <c r="AE38" i="5"/>
  <c r="AE19" i="5"/>
  <c r="AF19" i="5"/>
  <c r="AE32" i="5"/>
  <c r="AE17" i="5"/>
  <c r="AA19" i="5"/>
  <c r="Y19" i="5"/>
  <c r="AE36" i="5"/>
  <c r="AE18" i="5"/>
  <c r="U32" i="5"/>
  <c r="U17" i="5"/>
  <c r="O18" i="5"/>
  <c r="AG36" i="5"/>
  <c r="AG18" i="5"/>
  <c r="P32" i="5"/>
  <c r="P17" i="5"/>
  <c r="M32" i="5"/>
  <c r="M17" i="5"/>
  <c r="AA32" i="5"/>
  <c r="AA17" i="5"/>
  <c r="T32" i="5"/>
  <c r="T17" i="5"/>
  <c r="T19" i="5"/>
  <c r="W38" i="5"/>
  <c r="W19" i="5"/>
  <c r="M36" i="5"/>
  <c r="M18" i="5"/>
  <c r="R38" i="5"/>
  <c r="R19" i="5"/>
  <c r="S36" i="5"/>
  <c r="S18" i="5"/>
  <c r="AB38" i="5"/>
  <c r="AB19" i="5"/>
  <c r="AA36" i="5"/>
  <c r="AA18" i="5"/>
  <c r="X32" i="5"/>
  <c r="X17" i="5"/>
  <c r="O38" i="5"/>
  <c r="O19" i="5"/>
  <c r="O32" i="5"/>
  <c r="O17" i="5"/>
  <c r="AG32" i="5"/>
  <c r="AG17" i="5"/>
  <c r="Z32" i="5"/>
  <c r="Z17" i="5"/>
  <c r="L38" i="5"/>
  <c r="L19" i="5"/>
  <c r="Z17" i="6" s="1"/>
  <c r="AB17" i="6" s="1"/>
  <c r="L18" i="5"/>
  <c r="Z16" i="6" s="1"/>
  <c r="AB16" i="6" s="1"/>
  <c r="L17" i="5"/>
  <c r="Z15" i="6" s="1"/>
  <c r="AB15" i="6" s="1"/>
  <c r="L32" i="5"/>
  <c r="V19" i="5"/>
  <c r="N18" i="5"/>
  <c r="Q36" i="5"/>
  <c r="Q18" i="5"/>
  <c r="AF32" i="5"/>
  <c r="AF17" i="5"/>
  <c r="AE59" i="5"/>
  <c r="Q32" i="5"/>
  <c r="Q17" i="5"/>
  <c r="N38" i="5"/>
  <c r="N19" i="5"/>
  <c r="N32" i="5"/>
  <c r="N17" i="5"/>
  <c r="Q38" i="5"/>
  <c r="Q19" i="5"/>
  <c r="AG38" i="5"/>
  <c r="AG19" i="5"/>
  <c r="M38" i="5"/>
  <c r="M19" i="5"/>
  <c r="T36" i="5"/>
  <c r="T18" i="5"/>
  <c r="X38" i="5"/>
  <c r="X19" i="5"/>
  <c r="AC32" i="5"/>
  <c r="AC17" i="5"/>
  <c r="Y32" i="5"/>
  <c r="Y17" i="5"/>
  <c r="S32" i="5"/>
  <c r="S17" i="5"/>
  <c r="W32" i="5"/>
  <c r="W17" i="5"/>
  <c r="Z60" i="5"/>
  <c r="Z36" i="5"/>
  <c r="Z18" i="5"/>
  <c r="Z38" i="5"/>
  <c r="Z19" i="5"/>
  <c r="AH19" i="5"/>
  <c r="AC18" i="5"/>
  <c r="AE60" i="5"/>
  <c r="R36" i="5"/>
  <c r="R18" i="5"/>
  <c r="V32" i="5"/>
  <c r="V17" i="5"/>
  <c r="AH32" i="5"/>
  <c r="AH17" i="5"/>
  <c r="AC38" i="5"/>
  <c r="AC19" i="5"/>
  <c r="R32" i="5"/>
  <c r="R17" i="5"/>
  <c r="U36" i="5"/>
  <c r="U18" i="5"/>
  <c r="AD38" i="5"/>
  <c r="AD19" i="5"/>
  <c r="S19" i="5"/>
  <c r="Z28" i="6" a="1"/>
  <c r="L26" i="6" a="1"/>
  <c r="L22" i="6" a="1"/>
  <c r="Z26" i="6" a="1"/>
  <c r="Z22" i="6" a="1"/>
  <c r="L28" i="6" a="1"/>
  <c r="Z22" i="6" l="1"/>
  <c r="AB22" i="6" s="1"/>
  <c r="Z26" i="6"/>
  <c r="Z28" i="6"/>
  <c r="AB28" i="6" s="1"/>
  <c r="L28" i="6"/>
  <c r="N28" i="6" s="1"/>
  <c r="AC60" i="5"/>
  <c r="N27" i="6"/>
  <c r="AB24" i="6"/>
  <c r="L26" i="6"/>
  <c r="L22" i="6"/>
  <c r="N22" i="6" s="1"/>
  <c r="AB26" i="6"/>
  <c r="S58" i="5"/>
  <c r="S60" i="5"/>
  <c r="S59" i="5"/>
  <c r="N2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<sst xmlns="http://schemas.openxmlformats.org/spreadsheetml/2006/main" count="355" uniqueCount="77">
  <si>
    <t>Zvolte teplotní parametry</t>
  </si>
  <si>
    <t>Zvolte rozměry</t>
  </si>
  <si>
    <t>Teplota vzduchu °C</t>
  </si>
  <si>
    <t/>
  </si>
  <si>
    <t>Výška topného schodu(mm)</t>
  </si>
  <si>
    <t>Vstupní teplota °C</t>
  </si>
  <si>
    <t>Délka topného schodu (mm)</t>
  </si>
  <si>
    <t>Výstupní teplota °C</t>
  </si>
  <si>
    <t>VÝMĚNÍK FOXIS MODELY BEZ VENTILÁTORU - VOLITELNÁ DÉLKA</t>
  </si>
  <si>
    <t>VÝMĚNÍK FOXIS MODELY S VENTILÁTOREM - VOLITELNÁ DÉLKA</t>
  </si>
  <si>
    <t>KÓD VÝROBKU</t>
  </si>
  <si>
    <t>DÉLKA TĚLESA</t>
  </si>
  <si>
    <t>cena</t>
  </si>
  <si>
    <t>FST-N-</t>
  </si>
  <si>
    <t>-</t>
  </si>
  <si>
    <t>L</t>
  </si>
  <si>
    <t>FOXIS 118</t>
  </si>
  <si>
    <t>FST-Q-</t>
  </si>
  <si>
    <t>FOXIS  218</t>
  </si>
  <si>
    <t>FOXIS  318</t>
  </si>
  <si>
    <t>lamela  0510</t>
  </si>
  <si>
    <t>lamela  1010</t>
  </si>
  <si>
    <t>lamela  0520</t>
  </si>
  <si>
    <t>lamela  1020</t>
  </si>
  <si>
    <t>lamela  0525</t>
  </si>
  <si>
    <t>lamela  1025</t>
  </si>
  <si>
    <t xml:space="preserve">VÝPOČET TOPNÉHO VÝKONU STUPÍNKOVÉHO KONVEKTORU FOX STEP </t>
  </si>
  <si>
    <t>°C</t>
  </si>
  <si>
    <t>∆t=</t>
  </si>
  <si>
    <t>LAMELOVÝ VÝMĚNÍK  MODELY BEZ VENTILÁTORU - PEVNÉ DÉLKY DO 3000MM</t>
  </si>
  <si>
    <t>LAMELOVÝ VÝMĚNÍK  MODELY S VENTILÁTOREM - PEVNÉ DÉLKY</t>
  </si>
  <si>
    <t>lamela</t>
  </si>
  <si>
    <t>Km=</t>
  </si>
  <si>
    <t>vliv komínového efektu Ψ =</t>
  </si>
  <si>
    <t>dvoutrubkový</t>
  </si>
  <si>
    <t>zvolte kv</t>
  </si>
  <si>
    <t>kv=</t>
  </si>
  <si>
    <t>kPa</t>
  </si>
  <si>
    <t>FST-N-118</t>
  </si>
  <si>
    <t>FST-Q-118</t>
  </si>
  <si>
    <t>FST-Q-218</t>
  </si>
  <si>
    <t>FST-Q-318</t>
  </si>
  <si>
    <t>FST-Q-1010</t>
  </si>
  <si>
    <t>FST-Q-520</t>
  </si>
  <si>
    <t>FST-N-510</t>
  </si>
  <si>
    <t>FST-N-1010</t>
  </si>
  <si>
    <t>FST-N-520</t>
  </si>
  <si>
    <t>FST-N-1020</t>
  </si>
  <si>
    <t>FST-N-525</t>
  </si>
  <si>
    <t>FST-N-1025</t>
  </si>
  <si>
    <t>Kód</t>
  </si>
  <si>
    <t>FST-N-218</t>
  </si>
  <si>
    <t>FST-N-318</t>
  </si>
  <si>
    <t>FST-Q-510</t>
  </si>
  <si>
    <t>FST-Q-1020</t>
  </si>
  <si>
    <t>FST-Q-525</t>
  </si>
  <si>
    <t>FST-Q-1025</t>
  </si>
  <si>
    <r>
      <t>K</t>
    </r>
    <r>
      <rPr>
        <b/>
        <vertAlign val="subscript"/>
        <sz val="8"/>
        <rFont val="Arial"/>
        <family val="2"/>
        <charset val="238"/>
      </rPr>
      <t>M</t>
    </r>
    <r>
      <rPr>
        <b/>
        <sz val="8"/>
        <rFont val="Arial"/>
        <family val="2"/>
        <charset val="238"/>
      </rPr>
      <t xml:space="preserve"> = PRO LAMELOVÉ VÝMĚNÍKY bez ventilátoru</t>
    </r>
  </si>
  <si>
    <r>
      <t>K</t>
    </r>
    <r>
      <rPr>
        <b/>
        <vertAlign val="subscript"/>
        <sz val="8"/>
        <rFont val="Arial"/>
        <family val="2"/>
        <charset val="238"/>
      </rPr>
      <t>M</t>
    </r>
    <r>
      <rPr>
        <b/>
        <sz val="8"/>
        <rFont val="Arial"/>
        <family val="2"/>
        <charset val="238"/>
      </rPr>
      <t xml:space="preserve"> = PRO LAMELOVÉ VÝMĚNÍKY s ventilátorem</t>
    </r>
  </si>
  <si>
    <t>lamela  0515</t>
  </si>
  <si>
    <t>lamela  1015</t>
  </si>
  <si>
    <t>lamela  515</t>
  </si>
  <si>
    <t>lamela 515</t>
  </si>
  <si>
    <t>mm</t>
  </si>
  <si>
    <t>W</t>
  </si>
  <si>
    <t>VÝKON</t>
  </si>
  <si>
    <t>KONFIGURÁTOR STUPÍNKOVÉHO KONVEKTORU FOX STEP DLE PARAMETRŮ</t>
  </si>
  <si>
    <t xml:space="preserve">VÝMĚNÍK FOXIS MODELY BEZ VENTILÁTORU </t>
  </si>
  <si>
    <t xml:space="preserve">VÝMĚNÍK FOXIS MODELY S VENTILÁTOREM </t>
  </si>
  <si>
    <t>LAMELOVÝ VÝMĚNÍK -  MODELY BEZ VENTILÁTORU</t>
  </si>
  <si>
    <t>LAMELOVÝ VÝMĚNÍK  MODELY S VENTILÁTOREM</t>
  </si>
  <si>
    <t>Požadovaný topný výkon W</t>
  </si>
  <si>
    <t>pokrytí požadovaného výkonu %</t>
  </si>
  <si>
    <t>FST-N-515</t>
  </si>
  <si>
    <t>FST-N-1015</t>
  </si>
  <si>
    <t>FST-Q-515</t>
  </si>
  <si>
    <t>FST-Q-1015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</si>
</sst>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0.0000"/>
    <numFmt numFmtId="166" formatCode="0.0"/>
  </numFmts>
  <fonts count="49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1"/>
      <color theme="2" tint="-0.249977111117893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rial"/>
      <family val="2"/>
      <charset val="238"/>
    </font>
    <font>
      <sz val="18"/>
      <color theme="1"/>
      <name val="Aptos Narrow"/>
      <family val="2"/>
      <charset val="238"/>
      <scheme val="minor"/>
    </font>
    <font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 CE"/>
      <charset val="238"/>
    </font>
    <font>
      <b/>
      <sz val="12"/>
      <color theme="2" tint="-0.249977111117893"/>
      <name val="Arial"/>
      <family val="2"/>
    </font>
    <font>
      <b/>
      <vertAlign val="subscript"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0" fillId="0" borderId="0"/>
    <xf numFmtId="0" fontId="25" fillId="0" borderId="0"/>
  </cellStyleXfs>
  <cellXfs count="303">
    <xf numFmtId="0" fontId="0" fillId="0" borderId="0" xfId="0"/>
    <xf numFmtId="0" fontId="3" fillId="0" borderId="0" xfId="1" applyProtection="1">
      <protection locked="0" hidden="1"/>
    </xf>
    <xf numFmtId="0" fontId="4" fillId="0" borderId="0" xfId="1" applyFont="1" applyProtection="1">
      <protection locked="0" hidden="1"/>
    </xf>
    <xf numFmtId="0" fontId="4" fillId="0" borderId="0" xfId="1" applyFont="1" applyAlignment="1" applyProtection="1">
      <alignment horizontal="center"/>
      <protection locked="0" hidden="1"/>
    </xf>
    <xf numFmtId="49" fontId="4" fillId="0" borderId="0" xfId="1" applyNumberFormat="1" applyFont="1" applyProtection="1">
      <protection locked="0" hidden="1"/>
    </xf>
    <xf numFmtId="0" fontId="5" fillId="0" borderId="0" xfId="1" applyFont="1" applyProtection="1">
      <protection locked="0" hidden="1"/>
    </xf>
    <xf numFmtId="0" fontId="6" fillId="0" borderId="0" xfId="1" applyFont="1" applyAlignment="1" applyProtection="1">
      <alignment horizontal="center"/>
      <protection locked="0" hidden="1"/>
    </xf>
    <xf numFmtId="0" fontId="3" fillId="0" borderId="0" xfId="1" applyProtection="1">
      <protection hidden="1"/>
    </xf>
    <xf numFmtId="0" fontId="7" fillId="0" borderId="0" xfId="1" applyFont="1" applyProtection="1">
      <protection locked="0" hidden="1"/>
    </xf>
    <xf numFmtId="0" fontId="7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9" fillId="4" borderId="0" xfId="1" applyFont="1" applyFill="1" applyProtection="1">
      <protection locked="0" hidden="1"/>
    </xf>
    <xf numFmtId="0" fontId="4" fillId="4" borderId="0" xfId="1" applyFont="1" applyFill="1" applyAlignment="1" applyProtection="1">
      <alignment shrinkToFit="1"/>
      <protection locked="0" hidden="1"/>
    </xf>
    <xf numFmtId="0" fontId="4" fillId="0" borderId="0" xfId="1" applyFont="1" applyAlignment="1" applyProtection="1">
      <alignment shrinkToFit="1"/>
      <protection locked="0" hidden="1"/>
    </xf>
    <xf numFmtId="0" fontId="4" fillId="4" borderId="0" xfId="1" applyFont="1" applyFill="1" applyProtection="1">
      <protection hidden="1"/>
    </xf>
    <xf numFmtId="0" fontId="10" fillId="0" borderId="0" xfId="1" applyFont="1" applyProtection="1">
      <protection locked="0" hidden="1"/>
    </xf>
    <xf numFmtId="0" fontId="11" fillId="0" borderId="0" xfId="1" applyFont="1" applyAlignment="1" applyProtection="1">
      <alignment horizontal="left"/>
      <protection locked="0" hidden="1"/>
    </xf>
    <xf numFmtId="0" fontId="9" fillId="2" borderId="0" xfId="1" applyFont="1" applyFill="1" applyAlignment="1" applyProtection="1">
      <alignment horizontal="center"/>
      <protection locked="0" hidden="1"/>
    </xf>
    <xf numFmtId="0" fontId="12" fillId="0" borderId="0" xfId="1" applyFont="1" applyProtection="1">
      <protection hidden="1"/>
    </xf>
    <xf numFmtId="0" fontId="11" fillId="0" borderId="0" xfId="1" applyFont="1" applyAlignment="1" applyProtection="1">
      <alignment horizontal="center"/>
      <protection locked="0" hidden="1"/>
    </xf>
    <xf numFmtId="0" fontId="13" fillId="0" borderId="0" xfId="1" applyFont="1" applyProtection="1">
      <protection locked="0" hidden="1"/>
    </xf>
    <xf numFmtId="0" fontId="2" fillId="0" borderId="0" xfId="1" applyFont="1" applyProtection="1">
      <protection locked="0" hidden="1"/>
    </xf>
    <xf numFmtId="0" fontId="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3" fillId="0" borderId="0" xfId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/>
      <protection locked="0" hidden="1"/>
    </xf>
    <xf numFmtId="0" fontId="7" fillId="0" borderId="0" xfId="1" applyFont="1" applyAlignment="1" applyProtection="1">
      <alignment horizontal="center"/>
      <protection locked="0" hidden="1"/>
    </xf>
    <xf numFmtId="49" fontId="7" fillId="0" borderId="0" xfId="1" applyNumberFormat="1" applyFont="1" applyAlignment="1" applyProtection="1">
      <alignment horizontal="center"/>
      <protection locked="0" hidden="1"/>
    </xf>
    <xf numFmtId="0" fontId="3" fillId="0" borderId="0" xfId="1" applyAlignment="1" applyProtection="1">
      <alignment horizontal="center"/>
      <protection hidden="1"/>
    </xf>
    <xf numFmtId="0" fontId="15" fillId="0" borderId="0" xfId="1" applyFont="1" applyProtection="1">
      <protection locked="0" hidden="1"/>
    </xf>
    <xf numFmtId="0" fontId="16" fillId="0" borderId="0" xfId="1" applyFont="1" applyAlignment="1" applyProtection="1">
      <alignment vertical="center"/>
      <protection hidden="1"/>
    </xf>
    <xf numFmtId="0" fontId="3" fillId="0" borderId="0" xfId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locked="0" hidden="1"/>
    </xf>
    <xf numFmtId="0" fontId="4" fillId="3" borderId="0" xfId="1" applyFont="1" applyFill="1" applyProtection="1">
      <protection hidden="1"/>
    </xf>
    <xf numFmtId="0" fontId="3" fillId="0" borderId="0" xfId="1" applyAlignment="1" applyProtection="1">
      <alignment horizontal="center" vertical="center"/>
      <protection locked="0" hidden="1"/>
    </xf>
    <xf numFmtId="0" fontId="15" fillId="0" borderId="2" xfId="1" applyFont="1" applyBorder="1" applyAlignment="1" applyProtection="1">
      <alignment horizontal="center" vertical="center"/>
      <protection locked="0" hidden="1"/>
    </xf>
    <xf numFmtId="0" fontId="15" fillId="0" borderId="3" xfId="1" applyFont="1" applyBorder="1" applyAlignment="1" applyProtection="1">
      <alignment horizontal="center" vertical="center"/>
      <protection locked="0" hidden="1"/>
    </xf>
    <xf numFmtId="49" fontId="15" fillId="0" borderId="3" xfId="1" applyNumberFormat="1" applyFont="1" applyBorder="1" applyAlignment="1" applyProtection="1">
      <alignment horizontal="center" vertical="center"/>
      <protection locked="0" hidden="1"/>
    </xf>
    <xf numFmtId="1" fontId="18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164" fontId="18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locked="0" hidden="1"/>
    </xf>
    <xf numFmtId="0" fontId="15" fillId="0" borderId="0" xfId="1" applyFont="1" applyAlignment="1" applyProtection="1">
      <alignment horizontal="center" vertical="center"/>
      <protection locked="0" hidden="1"/>
    </xf>
    <xf numFmtId="49" fontId="15" fillId="0" borderId="0" xfId="1" applyNumberFormat="1" applyFont="1" applyAlignment="1" applyProtection="1">
      <alignment horizontal="center" vertical="center"/>
      <protection locked="0" hidden="1"/>
    </xf>
    <xf numFmtId="0" fontId="4" fillId="0" borderId="0" xfId="1" applyFont="1" applyAlignment="1" applyProtection="1">
      <alignment horizontal="left" vertical="center"/>
      <protection locked="0" hidden="1"/>
    </xf>
    <xf numFmtId="1" fontId="18" fillId="3" borderId="0" xfId="1" applyNumberFormat="1" applyFont="1" applyFill="1" applyAlignment="1" applyProtection="1">
      <alignment horizontal="center" vertical="center" wrapText="1"/>
      <protection locked="0" hidden="1"/>
    </xf>
    <xf numFmtId="0" fontId="15" fillId="0" borderId="11" xfId="1" applyFont="1" applyBorder="1" applyAlignment="1" applyProtection="1">
      <alignment horizontal="center" vertical="center"/>
      <protection locked="0" hidden="1"/>
    </xf>
    <xf numFmtId="0" fontId="15" fillId="0" borderId="15" xfId="1" applyFont="1" applyBorder="1" applyAlignment="1" applyProtection="1">
      <alignment horizontal="center" vertical="center"/>
      <protection locked="0" hidden="1"/>
    </xf>
    <xf numFmtId="0" fontId="19" fillId="0" borderId="0" xfId="1" applyFont="1" applyProtection="1">
      <protection locked="0" hidden="1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49" fontId="4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1" fontId="4" fillId="0" borderId="0" xfId="1" applyNumberFormat="1" applyFont="1" applyProtection="1">
      <protection hidden="1"/>
    </xf>
    <xf numFmtId="0" fontId="21" fillId="0" borderId="0" xfId="2" applyFont="1" applyAlignment="1">
      <alignment vertical="center"/>
    </xf>
    <xf numFmtId="0" fontId="6" fillId="0" borderId="0" xfId="1" applyFont="1" applyAlignment="1" applyProtection="1">
      <alignment horizontal="center"/>
      <protection hidden="1"/>
    </xf>
    <xf numFmtId="3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165" fontId="22" fillId="0" borderId="0" xfId="2" applyNumberFormat="1" applyFont="1" applyAlignment="1">
      <alignment horizontal="center" vertical="center"/>
    </xf>
    <xf numFmtId="0" fontId="5" fillId="3" borderId="0" xfId="1" applyFont="1" applyFill="1" applyProtection="1">
      <protection hidden="1"/>
    </xf>
    <xf numFmtId="0" fontId="23" fillId="0" borderId="0" xfId="1" applyFont="1" applyProtection="1">
      <protection hidden="1"/>
    </xf>
    <xf numFmtId="49" fontId="3" fillId="0" borderId="0" xfId="1" applyNumberFormat="1" applyProtection="1">
      <protection hidden="1"/>
    </xf>
    <xf numFmtId="0" fontId="24" fillId="0" borderId="3" xfId="1" applyFont="1" applyBorder="1" applyAlignment="1" applyProtection="1">
      <alignment horizontal="center" vertical="center"/>
      <protection locked="0" hidden="1"/>
    </xf>
    <xf numFmtId="49" fontId="24" fillId="0" borderId="3" xfId="1" applyNumberFormat="1" applyFont="1" applyBorder="1" applyAlignment="1" applyProtection="1">
      <alignment horizontal="center" vertical="center"/>
      <protection locked="0" hidden="1"/>
    </xf>
    <xf numFmtId="0" fontId="24" fillId="0" borderId="4" xfId="1" applyFont="1" applyBorder="1" applyAlignment="1" applyProtection="1">
      <alignment horizontal="center" vertical="center"/>
      <protection locked="0" hidden="1"/>
    </xf>
    <xf numFmtId="1" fontId="26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164" fontId="26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1" applyFont="1" applyAlignment="1" applyProtection="1">
      <alignment vertical="center"/>
      <protection locked="0" hidden="1"/>
    </xf>
    <xf numFmtId="0" fontId="24" fillId="0" borderId="0" xfId="1" applyFont="1" applyAlignment="1" applyProtection="1">
      <alignment horizontal="center" vertical="center"/>
      <protection locked="0" hidden="1"/>
    </xf>
    <xf numFmtId="49" fontId="24" fillId="0" borderId="0" xfId="1" applyNumberFormat="1" applyFont="1" applyAlignment="1" applyProtection="1">
      <alignment horizontal="center" vertical="center"/>
      <protection locked="0" hidden="1"/>
    </xf>
    <xf numFmtId="0" fontId="25" fillId="0" borderId="0" xfId="1" applyFont="1" applyAlignment="1" applyProtection="1">
      <alignment horizontal="left" vertical="center"/>
      <protection locked="0" hidden="1"/>
    </xf>
    <xf numFmtId="1" fontId="26" fillId="3" borderId="0" xfId="1" applyNumberFormat="1" applyFont="1" applyFill="1" applyAlignment="1" applyProtection="1">
      <alignment horizontal="center" vertical="center" wrapText="1"/>
      <protection locked="0" hidden="1"/>
    </xf>
    <xf numFmtId="0" fontId="24" fillId="0" borderId="13" xfId="1" applyFont="1" applyBorder="1" applyAlignment="1" applyProtection="1">
      <alignment horizontal="center" vertical="center"/>
      <protection locked="0" hidden="1"/>
    </xf>
    <xf numFmtId="49" fontId="24" fillId="0" borderId="13" xfId="1" applyNumberFormat="1" applyFont="1" applyBorder="1" applyAlignment="1" applyProtection="1">
      <alignment horizontal="center" vertical="center"/>
      <protection locked="0" hidden="1"/>
    </xf>
    <xf numFmtId="1" fontId="26" fillId="3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16" xfId="1" applyFont="1" applyBorder="1" applyAlignment="1" applyProtection="1">
      <alignment horizontal="center" vertical="center"/>
      <protection locked="0" hidden="1"/>
    </xf>
    <xf numFmtId="0" fontId="25" fillId="0" borderId="0" xfId="3" applyProtection="1">
      <protection locked="0" hidden="1"/>
    </xf>
    <xf numFmtId="0" fontId="4" fillId="0" borderId="0" xfId="3" applyFont="1" applyProtection="1">
      <protection locked="0" hidden="1"/>
    </xf>
    <xf numFmtId="0" fontId="4" fillId="0" borderId="0" xfId="3" applyFont="1" applyAlignment="1" applyProtection="1">
      <alignment horizontal="center"/>
      <protection locked="0" hidden="1"/>
    </xf>
    <xf numFmtId="49" fontId="4" fillId="0" borderId="0" xfId="3" applyNumberFormat="1" applyFont="1" applyProtection="1">
      <protection locked="0" hidden="1"/>
    </xf>
    <xf numFmtId="0" fontId="5" fillId="0" borderId="0" xfId="3" applyFont="1" applyProtection="1">
      <protection locked="0" hidden="1"/>
    </xf>
    <xf numFmtId="0" fontId="6" fillId="0" borderId="0" xfId="3" applyFont="1" applyAlignment="1" applyProtection="1">
      <alignment horizontal="center"/>
      <protection locked="0" hidden="1"/>
    </xf>
    <xf numFmtId="0" fontId="25" fillId="0" borderId="0" xfId="3" applyProtection="1">
      <protection hidden="1"/>
    </xf>
    <xf numFmtId="0" fontId="7" fillId="0" borderId="0" xfId="3" applyFont="1" applyProtection="1">
      <protection locked="0" hidden="1"/>
    </xf>
    <xf numFmtId="0" fontId="29" fillId="0" borderId="0" xfId="3" applyFont="1" applyProtection="1">
      <protection locked="0" hidden="1"/>
    </xf>
    <xf numFmtId="0" fontId="7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9" fillId="4" borderId="0" xfId="3" applyFont="1" applyFill="1" applyProtection="1">
      <protection locked="0" hidden="1"/>
    </xf>
    <xf numFmtId="0" fontId="4" fillId="4" borderId="0" xfId="3" applyFont="1" applyFill="1" applyAlignment="1" applyProtection="1">
      <alignment shrinkToFit="1"/>
      <protection locked="0" hidden="1"/>
    </xf>
    <xf numFmtId="0" fontId="4" fillId="0" borderId="0" xfId="3" applyFont="1" applyAlignment="1" applyProtection="1">
      <alignment shrinkToFit="1"/>
      <protection locked="0" hidden="1"/>
    </xf>
    <xf numFmtId="0" fontId="15" fillId="4" borderId="0" xfId="3" applyFont="1" applyFill="1" applyAlignment="1" applyProtection="1">
      <alignment horizontal="center"/>
      <protection locked="0" hidden="1"/>
    </xf>
    <xf numFmtId="0" fontId="4" fillId="4" borderId="0" xfId="3" applyFont="1" applyFill="1" applyProtection="1">
      <protection locked="0" hidden="1"/>
    </xf>
    <xf numFmtId="0" fontId="4" fillId="3" borderId="0" xfId="3" applyFont="1" applyFill="1" applyProtection="1">
      <protection locked="0" hidden="1"/>
    </xf>
    <xf numFmtId="0" fontId="6" fillId="3" borderId="0" xfId="3" applyFont="1" applyFill="1" applyAlignment="1" applyProtection="1">
      <alignment horizontal="center" shrinkToFit="1"/>
      <protection locked="0" hidden="1"/>
    </xf>
    <xf numFmtId="0" fontId="30" fillId="3" borderId="0" xfId="3" applyFont="1" applyFill="1" applyAlignment="1" applyProtection="1">
      <alignment horizontal="center"/>
      <protection locked="0" hidden="1"/>
    </xf>
    <xf numFmtId="0" fontId="6" fillId="0" borderId="0" xfId="3" applyFont="1" applyAlignment="1" applyProtection="1">
      <alignment horizontal="center" shrinkToFit="1"/>
      <protection locked="0" hidden="1"/>
    </xf>
    <xf numFmtId="0" fontId="10" fillId="0" borderId="0" xfId="3" applyFont="1" applyProtection="1">
      <protection locked="0" hidden="1"/>
    </xf>
    <xf numFmtId="0" fontId="15" fillId="3" borderId="0" xfId="3" applyFont="1" applyFill="1" applyAlignment="1" applyProtection="1">
      <alignment horizontal="center"/>
      <protection locked="0" hidden="1"/>
    </xf>
    <xf numFmtId="0" fontId="11" fillId="0" borderId="0" xfId="3" applyFont="1" applyAlignment="1" applyProtection="1">
      <alignment horizontal="left"/>
      <protection locked="0" hidden="1"/>
    </xf>
    <xf numFmtId="0" fontId="9" fillId="2" borderId="0" xfId="3" applyFont="1" applyFill="1" applyAlignment="1" applyProtection="1">
      <alignment horizontal="center"/>
      <protection locked="0" hidden="1"/>
    </xf>
    <xf numFmtId="0" fontId="12" fillId="0" borderId="0" xfId="3" applyFont="1" applyProtection="1">
      <protection hidden="1"/>
    </xf>
    <xf numFmtId="0" fontId="10" fillId="0" borderId="0" xfId="3" applyFont="1" applyProtection="1">
      <protection hidden="1"/>
    </xf>
    <xf numFmtId="0" fontId="11" fillId="0" borderId="0" xfId="3" applyFont="1" applyAlignment="1" applyProtection="1">
      <alignment horizontal="center"/>
      <protection locked="0" hidden="1"/>
    </xf>
    <xf numFmtId="0" fontId="13" fillId="0" borderId="0" xfId="3" applyFont="1" applyProtection="1">
      <protection locked="0" hidden="1"/>
    </xf>
    <xf numFmtId="0" fontId="14" fillId="0" borderId="0" xfId="3" applyFont="1" applyProtection="1">
      <protection locked="0" hidden="1"/>
    </xf>
    <xf numFmtId="0" fontId="2" fillId="0" borderId="0" xfId="3" applyFont="1" applyProtection="1">
      <protection locked="0" hidden="1"/>
    </xf>
    <xf numFmtId="0" fontId="2" fillId="0" borderId="0" xfId="3" applyFont="1" applyProtection="1">
      <protection hidden="1"/>
    </xf>
    <xf numFmtId="0" fontId="5" fillId="0" borderId="0" xfId="3" applyFont="1" applyProtection="1">
      <protection hidden="1"/>
    </xf>
    <xf numFmtId="0" fontId="31" fillId="0" borderId="0" xfId="3" applyFont="1" applyAlignment="1" applyProtection="1">
      <alignment horizontal="left"/>
      <protection locked="0" hidden="1"/>
    </xf>
    <xf numFmtId="0" fontId="25" fillId="0" borderId="0" xfId="3" applyAlignment="1" applyProtection="1">
      <alignment horizontal="center"/>
      <protection locked="0" hidden="1"/>
    </xf>
    <xf numFmtId="0" fontId="5" fillId="0" borderId="0" xfId="3" applyFont="1" applyAlignment="1" applyProtection="1">
      <alignment horizontal="center"/>
      <protection locked="0" hidden="1"/>
    </xf>
    <xf numFmtId="0" fontId="7" fillId="0" borderId="0" xfId="3" applyFont="1" applyAlignment="1" applyProtection="1">
      <alignment horizontal="center"/>
      <protection locked="0" hidden="1"/>
    </xf>
    <xf numFmtId="49" fontId="7" fillId="0" borderId="0" xfId="3" applyNumberFormat="1" applyFont="1" applyAlignment="1" applyProtection="1">
      <alignment horizontal="center"/>
      <protection locked="0" hidden="1"/>
    </xf>
    <xf numFmtId="0" fontId="15" fillId="0" borderId="0" xfId="3" applyFont="1" applyAlignment="1" applyProtection="1">
      <alignment horizontal="center"/>
      <protection locked="0" hidden="1"/>
    </xf>
    <xf numFmtId="0" fontId="25" fillId="0" borderId="0" xfId="3" applyAlignment="1" applyProtection="1">
      <alignment horizontal="center"/>
      <protection hidden="1"/>
    </xf>
    <xf numFmtId="0" fontId="15" fillId="0" borderId="0" xfId="3" applyFont="1" applyProtection="1">
      <protection locked="0" hidden="1"/>
    </xf>
    <xf numFmtId="0" fontId="16" fillId="0" borderId="0" xfId="3" applyFont="1" applyAlignment="1" applyProtection="1">
      <alignment vertical="center"/>
      <protection hidden="1"/>
    </xf>
    <xf numFmtId="0" fontId="25" fillId="0" borderId="6" xfId="3" applyBorder="1" applyProtection="1">
      <protection hidden="1"/>
    </xf>
    <xf numFmtId="0" fontId="9" fillId="0" borderId="3" xfId="3" applyFont="1" applyBorder="1" applyAlignment="1" applyProtection="1">
      <alignment horizontal="right"/>
      <protection locked="0" hidden="1"/>
    </xf>
    <xf numFmtId="0" fontId="5" fillId="0" borderId="3" xfId="3" applyFont="1" applyBorder="1" applyAlignment="1" applyProtection="1">
      <alignment horizontal="left"/>
      <protection locked="0" hidden="1"/>
    </xf>
    <xf numFmtId="0" fontId="4" fillId="0" borderId="3" xfId="3" applyFont="1" applyBorder="1" applyAlignment="1" applyProtection="1">
      <alignment horizontal="center"/>
      <protection locked="0" hidden="1"/>
    </xf>
    <xf numFmtId="0" fontId="4" fillId="0" borderId="3" xfId="3" applyFont="1" applyBorder="1" applyProtection="1">
      <protection locked="0" hidden="1"/>
    </xf>
    <xf numFmtId="0" fontId="25" fillId="0" borderId="3" xfId="3" applyBorder="1" applyProtection="1">
      <protection locked="0" hidden="1"/>
    </xf>
    <xf numFmtId="0" fontId="25" fillId="0" borderId="4" xfId="3" applyBorder="1" applyProtection="1">
      <protection locked="0" hidden="1"/>
    </xf>
    <xf numFmtId="0" fontId="25" fillId="0" borderId="0" xfId="3" applyAlignment="1" applyProtection="1">
      <alignment horizontal="center" vertical="center"/>
      <protection hidden="1"/>
    </xf>
    <xf numFmtId="0" fontId="16" fillId="0" borderId="0" xfId="3" applyFont="1" applyAlignment="1" applyProtection="1">
      <alignment vertical="center"/>
      <protection locked="0" hidden="1"/>
    </xf>
    <xf numFmtId="0" fontId="11" fillId="2" borderId="7" xfId="3" applyFont="1" applyFill="1" applyBorder="1" applyAlignment="1" applyProtection="1">
      <alignment horizontal="center" vertical="center"/>
      <protection locked="0" hidden="1"/>
    </xf>
    <xf numFmtId="0" fontId="11" fillId="2" borderId="17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Alignment="1" applyProtection="1">
      <alignment vertical="center"/>
      <protection hidden="1"/>
    </xf>
    <xf numFmtId="0" fontId="5" fillId="3" borderId="0" xfId="3" applyFont="1" applyFill="1" applyProtection="1">
      <protection hidden="1"/>
    </xf>
    <xf numFmtId="0" fontId="10" fillId="3" borderId="0" xfId="3" applyFont="1" applyFill="1" applyProtection="1">
      <protection hidden="1"/>
    </xf>
    <xf numFmtId="0" fontId="4" fillId="3" borderId="0" xfId="3" applyFont="1" applyFill="1" applyProtection="1">
      <protection hidden="1"/>
    </xf>
    <xf numFmtId="0" fontId="4" fillId="3" borderId="0" xfId="3" applyFont="1" applyFill="1" applyAlignment="1" applyProtection="1">
      <alignment horizontal="center"/>
      <protection hidden="1"/>
    </xf>
    <xf numFmtId="0" fontId="25" fillId="0" borderId="0" xfId="3" applyAlignment="1" applyProtection="1">
      <alignment horizontal="center" vertical="center"/>
      <protection locked="0" hidden="1"/>
    </xf>
    <xf numFmtId="0" fontId="15" fillId="0" borderId="2" xfId="3" applyFont="1" applyBorder="1" applyAlignment="1" applyProtection="1">
      <alignment horizontal="center" vertical="center"/>
      <protection locked="0" hidden="1"/>
    </xf>
    <xf numFmtId="0" fontId="15" fillId="0" borderId="3" xfId="3" applyFont="1" applyBorder="1" applyAlignment="1" applyProtection="1">
      <alignment horizontal="center" vertical="center"/>
      <protection locked="0" hidden="1"/>
    </xf>
    <xf numFmtId="49" fontId="15" fillId="0" borderId="3" xfId="3" applyNumberFormat="1" applyFont="1" applyBorder="1" applyAlignment="1" applyProtection="1">
      <alignment horizontal="center" vertical="center"/>
      <protection locked="0" hidden="1"/>
    </xf>
    <xf numFmtId="1" fontId="18" fillId="3" borderId="7" xfId="3" applyNumberFormat="1" applyFont="1" applyFill="1" applyBorder="1" applyAlignment="1" applyProtection="1">
      <alignment horizontal="center" vertical="center" wrapText="1"/>
      <protection locked="0" hidden="1"/>
    </xf>
    <xf numFmtId="1" fontId="18" fillId="3" borderId="17" xfId="3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/>
      <protection hidden="1"/>
    </xf>
    <xf numFmtId="0" fontId="15" fillId="0" borderId="2" xfId="3" applyFont="1" applyBorder="1" applyAlignment="1" applyProtection="1">
      <alignment vertical="center"/>
      <protection locked="0" hidden="1"/>
    </xf>
    <xf numFmtId="0" fontId="15" fillId="0" borderId="4" xfId="3" applyFont="1" applyBorder="1" applyAlignment="1" applyProtection="1">
      <alignment horizontal="center" vertical="center"/>
      <protection locked="0" hidden="1"/>
    </xf>
    <xf numFmtId="0" fontId="15" fillId="0" borderId="0" xfId="3" applyFont="1" applyAlignment="1" applyProtection="1">
      <alignment vertical="center"/>
      <protection locked="0" hidden="1"/>
    </xf>
    <xf numFmtId="1" fontId="18" fillId="3" borderId="0" xfId="3" applyNumberFormat="1" applyFont="1" applyFill="1" applyAlignment="1" applyProtection="1">
      <alignment horizontal="center" vertical="center" wrapText="1"/>
      <protection locked="0" hidden="1"/>
    </xf>
    <xf numFmtId="0" fontId="19" fillId="0" borderId="0" xfId="3" applyFont="1" applyProtection="1">
      <protection locked="0" hidden="1"/>
    </xf>
    <xf numFmtId="0" fontId="19" fillId="0" borderId="6" xfId="3" applyFont="1" applyBorder="1" applyProtection="1">
      <protection hidden="1"/>
    </xf>
    <xf numFmtId="0" fontId="32" fillId="0" borderId="0" xfId="3" applyFont="1" applyProtection="1">
      <protection hidden="1"/>
    </xf>
    <xf numFmtId="0" fontId="19" fillId="0" borderId="0" xfId="3" applyFont="1" applyProtection="1">
      <protection hidden="1"/>
    </xf>
    <xf numFmtId="1" fontId="33" fillId="3" borderId="7" xfId="3" applyNumberFormat="1" applyFont="1" applyFill="1" applyBorder="1" applyAlignment="1" applyProtection="1">
      <alignment horizontal="center" vertical="center" wrapText="1"/>
      <protection locked="0" hidden="1"/>
    </xf>
    <xf numFmtId="1" fontId="33" fillId="3" borderId="8" xfId="3" applyNumberFormat="1" applyFont="1" applyFill="1" applyBorder="1" applyAlignment="1" applyProtection="1">
      <alignment horizontal="center" vertical="center" wrapText="1"/>
      <protection locked="0" hidden="1"/>
    </xf>
    <xf numFmtId="1" fontId="33" fillId="3" borderId="4" xfId="3" applyNumberFormat="1" applyFont="1" applyFill="1" applyBorder="1" applyAlignment="1" applyProtection="1">
      <alignment horizontal="center" vertical="center" wrapText="1"/>
      <protection locked="0" hidden="1"/>
    </xf>
    <xf numFmtId="1" fontId="33" fillId="3" borderId="17" xfId="3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2" xfId="3" applyFont="1" applyBorder="1" applyAlignment="1" applyProtection="1">
      <alignment horizontal="center" vertical="center"/>
      <protection locked="0" hidden="1"/>
    </xf>
    <xf numFmtId="0" fontId="15" fillId="0" borderId="13" xfId="3" applyFont="1" applyBorder="1" applyAlignment="1" applyProtection="1">
      <alignment horizontal="center" vertical="center"/>
      <protection locked="0" hidden="1"/>
    </xf>
    <xf numFmtId="49" fontId="15" fillId="0" borderId="13" xfId="3" applyNumberFormat="1" applyFont="1" applyBorder="1" applyAlignment="1" applyProtection="1">
      <alignment horizontal="center" vertical="center"/>
      <protection locked="0" hidden="1"/>
    </xf>
    <xf numFmtId="1" fontId="33" fillId="3" borderId="18" xfId="3" applyNumberFormat="1" applyFont="1" applyFill="1" applyBorder="1" applyAlignment="1" applyProtection="1">
      <alignment horizontal="center" vertical="center" wrapText="1"/>
      <protection locked="0" hidden="1"/>
    </xf>
    <xf numFmtId="1" fontId="33" fillId="3" borderId="19" xfId="3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0" xfId="3" applyFont="1" applyAlignment="1" applyProtection="1">
      <alignment horizontal="center"/>
      <protection locked="0" hidden="1"/>
    </xf>
    <xf numFmtId="0" fontId="25" fillId="0" borderId="3" xfId="3" applyBorder="1" applyAlignment="1" applyProtection="1">
      <alignment horizontal="center"/>
      <protection locked="0" hidden="1"/>
    </xf>
    <xf numFmtId="0" fontId="25" fillId="0" borderId="4" xfId="3" applyBorder="1" applyAlignment="1" applyProtection="1">
      <alignment horizontal="center"/>
      <protection locked="0" hidden="1"/>
    </xf>
    <xf numFmtId="0" fontId="32" fillId="0" borderId="0" xfId="3" applyFont="1" applyAlignment="1" applyProtection="1">
      <alignment horizontal="center"/>
      <protection hidden="1"/>
    </xf>
    <xf numFmtId="0" fontId="19" fillId="0" borderId="0" xfId="3" applyFont="1" applyAlignment="1" applyProtection="1">
      <alignment horizontal="center"/>
      <protection hidden="1"/>
    </xf>
    <xf numFmtId="0" fontId="15" fillId="0" borderId="12" xfId="3" applyFont="1" applyBorder="1" applyAlignment="1" applyProtection="1">
      <alignment vertical="center"/>
      <protection locked="0" hidden="1"/>
    </xf>
    <xf numFmtId="0" fontId="15" fillId="0" borderId="16" xfId="3" applyFont="1" applyBorder="1" applyAlignment="1" applyProtection="1">
      <alignment horizontal="center" vertical="center"/>
      <protection locked="0" hidden="1"/>
    </xf>
    <xf numFmtId="49" fontId="4" fillId="0" borderId="0" xfId="3" applyNumberFormat="1" applyFont="1" applyProtection="1">
      <protection hidden="1"/>
    </xf>
    <xf numFmtId="49" fontId="25" fillId="0" borderId="0" xfId="3" applyNumberFormat="1" applyProtection="1">
      <protection hidden="1"/>
    </xf>
    <xf numFmtId="0" fontId="25" fillId="0" borderId="0" xfId="1" applyFont="1" applyProtection="1">
      <protection hidden="1"/>
    </xf>
    <xf numFmtId="0" fontId="24" fillId="0" borderId="12" xfId="1" applyFont="1" applyBorder="1" applyAlignment="1" applyProtection="1">
      <alignment horizontal="left" vertical="center"/>
      <protection locked="0" hidden="1"/>
    </xf>
    <xf numFmtId="0" fontId="24" fillId="0" borderId="2" xfId="1" applyFont="1" applyBorder="1" applyAlignment="1" applyProtection="1">
      <alignment horizontal="left" vertical="center"/>
      <protection locked="0" hidden="1"/>
    </xf>
    <xf numFmtId="0" fontId="34" fillId="5" borderId="0" xfId="0" applyFont="1" applyFill="1" applyAlignment="1">
      <alignment horizontal="center"/>
    </xf>
    <xf numFmtId="0" fontId="1" fillId="6" borderId="0" xfId="0" applyFont="1" applyFill="1"/>
    <xf numFmtId="44" fontId="1" fillId="0" borderId="0" xfId="0" applyNumberFormat="1" applyFont="1"/>
    <xf numFmtId="0" fontId="25" fillId="0" borderId="0" xfId="1" applyFont="1" applyAlignment="1" applyProtection="1">
      <alignment horizontal="center" vertical="center"/>
      <protection hidden="1"/>
    </xf>
    <xf numFmtId="0" fontId="35" fillId="0" borderId="0" xfId="1" applyFont="1" applyAlignment="1" applyProtection="1">
      <alignment horizontal="center" vertical="center"/>
      <protection hidden="1"/>
    </xf>
    <xf numFmtId="0" fontId="35" fillId="0" borderId="0" xfId="1" applyFont="1" applyProtection="1">
      <protection hidden="1"/>
    </xf>
    <xf numFmtId="0" fontId="35" fillId="0" borderId="0" xfId="1" applyFont="1" applyAlignment="1" applyProtection="1">
      <alignment vertical="center"/>
      <protection hidden="1"/>
    </xf>
    <xf numFmtId="0" fontId="25" fillId="0" borderId="0" xfId="1" applyFont="1" applyProtection="1">
      <protection locked="0" hidden="1"/>
    </xf>
    <xf numFmtId="0" fontId="36" fillId="0" borderId="0" xfId="1" applyFont="1" applyAlignment="1" applyProtection="1">
      <alignment horizontal="center"/>
      <protection locked="0" hidden="1"/>
    </xf>
    <xf numFmtId="0" fontId="25" fillId="0" borderId="0" xfId="1" applyFont="1" applyAlignment="1" applyProtection="1">
      <alignment horizontal="center"/>
      <protection hidden="1"/>
    </xf>
    <xf numFmtId="0" fontId="20" fillId="0" borderId="0" xfId="2" applyAlignment="1">
      <alignment vertical="center"/>
    </xf>
    <xf numFmtId="0" fontId="38" fillId="0" borderId="0" xfId="1" applyFont="1" applyProtection="1">
      <protection hidden="1"/>
    </xf>
    <xf numFmtId="0" fontId="25" fillId="0" borderId="0" xfId="1" applyFont="1" applyAlignment="1" applyProtection="1">
      <alignment vertical="center"/>
      <protection hidden="1"/>
    </xf>
    <xf numFmtId="0" fontId="28" fillId="0" borderId="0" xfId="1" applyFont="1" applyProtection="1">
      <protection locked="0" hidden="1"/>
    </xf>
    <xf numFmtId="0" fontId="37" fillId="0" borderId="0" xfId="1" applyFont="1" applyProtection="1">
      <protection hidden="1"/>
    </xf>
    <xf numFmtId="0" fontId="35" fillId="0" borderId="0" xfId="1" applyFont="1" applyAlignment="1" applyProtection="1">
      <alignment horizontal="center"/>
      <protection locked="0" hidden="1"/>
    </xf>
    <xf numFmtId="0" fontId="35" fillId="0" borderId="0" xfId="1" applyFont="1" applyAlignment="1" applyProtection="1">
      <alignment horizontal="center"/>
      <protection hidden="1"/>
    </xf>
    <xf numFmtId="0" fontId="39" fillId="0" borderId="0" xfId="1" applyFont="1" applyProtection="1">
      <protection locked="0" hidden="1"/>
    </xf>
    <xf numFmtId="0" fontId="35" fillId="0" borderId="0" xfId="1" applyFont="1" applyProtection="1">
      <protection locked="0" hidden="1"/>
    </xf>
    <xf numFmtId="49" fontId="35" fillId="0" borderId="0" xfId="1" applyNumberFormat="1" applyFont="1" applyProtection="1">
      <protection locked="0" hidden="1"/>
    </xf>
    <xf numFmtId="0" fontId="27" fillId="0" borderId="0" xfId="1" applyFont="1" applyProtection="1">
      <protection hidden="1"/>
    </xf>
    <xf numFmtId="1" fontId="4" fillId="0" borderId="0" xfId="3" applyNumberFormat="1" applyFont="1" applyProtection="1">
      <protection locked="0" hidden="1"/>
    </xf>
    <xf numFmtId="1" fontId="4" fillId="0" borderId="0" xfId="3" applyNumberFormat="1" applyFont="1" applyProtection="1">
      <protection hidden="1"/>
    </xf>
    <xf numFmtId="0" fontId="6" fillId="0" borderId="0" xfId="3" applyFont="1" applyAlignment="1" applyProtection="1">
      <alignment horizontal="center"/>
      <protection hidden="1"/>
    </xf>
    <xf numFmtId="0" fontId="15" fillId="3" borderId="0" xfId="3" applyFont="1" applyFill="1" applyProtection="1">
      <protection hidden="1"/>
    </xf>
    <xf numFmtId="165" fontId="43" fillId="3" borderId="0" xfId="3" applyNumberFormat="1" applyFont="1" applyFill="1" applyAlignment="1" applyProtection="1">
      <alignment horizontal="center"/>
      <protection hidden="1"/>
    </xf>
    <xf numFmtId="1" fontId="43" fillId="3" borderId="0" xfId="3" applyNumberFormat="1" applyFont="1" applyFill="1" applyAlignment="1" applyProtection="1">
      <alignment horizontal="center"/>
      <protection hidden="1"/>
    </xf>
    <xf numFmtId="0" fontId="23" fillId="0" borderId="0" xfId="3" applyFont="1" applyProtection="1">
      <protection hidden="1"/>
    </xf>
    <xf numFmtId="2" fontId="43" fillId="3" borderId="0" xfId="3" applyNumberFormat="1" applyFont="1" applyFill="1" applyAlignment="1" applyProtection="1">
      <alignment horizontal="center"/>
      <protection hidden="1"/>
    </xf>
    <xf numFmtId="0" fontId="43" fillId="3" borderId="0" xfId="3" applyFont="1" applyFill="1" applyAlignment="1" applyProtection="1">
      <alignment horizontal="center"/>
      <protection hidden="1"/>
    </xf>
    <xf numFmtId="0" fontId="44" fillId="3" borderId="0" xfId="3" applyFont="1" applyFill="1" applyAlignment="1" applyProtection="1">
      <alignment horizontal="center"/>
      <protection hidden="1"/>
    </xf>
    <xf numFmtId="0" fontId="44" fillId="3" borderId="0" xfId="3" applyFont="1" applyFill="1" applyProtection="1">
      <protection hidden="1"/>
    </xf>
    <xf numFmtId="9" fontId="43" fillId="3" borderId="0" xfId="3" applyNumberFormat="1" applyFont="1" applyFill="1" applyAlignment="1" applyProtection="1">
      <alignment horizontal="center"/>
      <protection hidden="1"/>
    </xf>
    <xf numFmtId="165" fontId="23" fillId="3" borderId="0" xfId="3" applyNumberFormat="1" applyFont="1" applyFill="1" applyAlignment="1" applyProtection="1">
      <alignment horizontal="center" shrinkToFit="1"/>
      <protection hidden="1"/>
    </xf>
    <xf numFmtId="0" fontId="45" fillId="3" borderId="0" xfId="3" applyFont="1" applyFill="1" applyAlignment="1" applyProtection="1">
      <alignment horizontal="center"/>
      <protection hidden="1"/>
    </xf>
    <xf numFmtId="0" fontId="9" fillId="3" borderId="0" xfId="3" applyFont="1" applyFill="1" applyProtection="1">
      <protection hidden="1"/>
    </xf>
    <xf numFmtId="166" fontId="17" fillId="3" borderId="0" xfId="3" applyNumberFormat="1" applyFont="1" applyFill="1" applyProtection="1">
      <protection hidden="1"/>
    </xf>
    <xf numFmtId="0" fontId="37" fillId="0" borderId="0" xfId="3" applyFont="1" applyProtection="1">
      <protection locked="0" hidden="1"/>
    </xf>
    <xf numFmtId="0" fontId="37" fillId="0" borderId="0" xfId="3" applyFont="1" applyProtection="1">
      <protection hidden="1"/>
    </xf>
    <xf numFmtId="0" fontId="24" fillId="3" borderId="0" xfId="3" applyFont="1" applyFill="1" applyAlignment="1" applyProtection="1">
      <alignment horizontal="right"/>
      <protection locked="0" hidden="1"/>
    </xf>
    <xf numFmtId="0" fontId="46" fillId="3" borderId="0" xfId="3" applyFont="1" applyFill="1" applyAlignment="1" applyProtection="1">
      <alignment horizontal="center"/>
      <protection locked="0" hidden="1"/>
    </xf>
    <xf numFmtId="0" fontId="46" fillId="3" borderId="0" xfId="3" applyFont="1" applyFill="1" applyAlignment="1" applyProtection="1">
      <alignment horizontal="right"/>
      <protection locked="0" hidden="1"/>
    </xf>
    <xf numFmtId="0" fontId="38" fillId="0" borderId="0" xfId="3" applyFont="1" applyProtection="1">
      <protection locked="0" hidden="1"/>
    </xf>
    <xf numFmtId="0" fontId="28" fillId="0" borderId="0" xfId="3" applyFont="1" applyAlignment="1" applyProtection="1">
      <alignment horizontal="left"/>
      <protection locked="0" hidden="1"/>
    </xf>
    <xf numFmtId="0" fontId="38" fillId="0" borderId="0" xfId="3" applyFont="1" applyProtection="1">
      <protection hidden="1"/>
    </xf>
    <xf numFmtId="0" fontId="25" fillId="0" borderId="0" xfId="3" applyAlignment="1" applyProtection="1">
      <alignment vertical="center"/>
      <protection hidden="1"/>
    </xf>
    <xf numFmtId="0" fontId="47" fillId="3" borderId="0" xfId="3" applyFont="1" applyFill="1" applyProtection="1">
      <protection hidden="1"/>
    </xf>
    <xf numFmtId="0" fontId="25" fillId="3" borderId="0" xfId="3" applyFill="1" applyProtection="1">
      <protection hidden="1"/>
    </xf>
    <xf numFmtId="0" fontId="25" fillId="3" borderId="0" xfId="3" applyFill="1" applyAlignment="1" applyProtection="1">
      <alignment horizontal="center"/>
      <protection hidden="1"/>
    </xf>
    <xf numFmtId="0" fontId="47" fillId="0" borderId="0" xfId="3" applyFont="1" applyProtection="1">
      <protection hidden="1"/>
    </xf>
    <xf numFmtId="1" fontId="40" fillId="0" borderId="0" xfId="2" applyNumberFormat="1" applyFont="1" applyAlignment="1" applyProtection="1">
      <alignment horizontal="center" vertical="center"/>
      <protection locked="0" hidden="1"/>
    </xf>
    <xf numFmtId="165" fontId="22" fillId="0" borderId="0" xfId="2" applyNumberFormat="1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locked="0" hidden="1"/>
    </xf>
    <xf numFmtId="0" fontId="15" fillId="4" borderId="2" xfId="0" applyFont="1" applyFill="1" applyBorder="1" applyAlignment="1" applyProtection="1">
      <alignment horizontal="center" vertical="center"/>
      <protection locked="0" hidden="1"/>
    </xf>
    <xf numFmtId="0" fontId="15" fillId="4" borderId="3" xfId="0" applyFont="1" applyFill="1" applyBorder="1" applyAlignment="1" applyProtection="1">
      <alignment horizontal="center" vertical="center"/>
      <protection locked="0" hidden="1"/>
    </xf>
    <xf numFmtId="49" fontId="15" fillId="4" borderId="3" xfId="0" applyNumberFormat="1" applyFont="1" applyFill="1" applyBorder="1" applyAlignment="1" applyProtection="1">
      <alignment horizontal="center" vertical="center"/>
      <protection locked="0" hidden="1"/>
    </xf>
    <xf numFmtId="1" fontId="33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" fontId="33" fillId="4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4" borderId="2" xfId="0" applyFont="1" applyFill="1" applyBorder="1" applyAlignment="1" applyProtection="1">
      <alignment vertical="center"/>
      <protection locked="0" hidden="1"/>
    </xf>
    <xf numFmtId="0" fontId="15" fillId="4" borderId="4" xfId="0" applyFont="1" applyFill="1" applyBorder="1" applyAlignment="1" applyProtection="1">
      <alignment horizontal="center" vertical="center"/>
      <protection locked="0" hidden="1"/>
    </xf>
    <xf numFmtId="0" fontId="15" fillId="0" borderId="3" xfId="1" applyFont="1" applyBorder="1" applyAlignment="1" applyProtection="1">
      <alignment horizontal="center" vertical="center"/>
      <protection hidden="1"/>
    </xf>
    <xf numFmtId="0" fontId="11" fillId="2" borderId="12" xfId="1" applyFont="1" applyFill="1" applyBorder="1" applyAlignment="1" applyProtection="1">
      <alignment horizontal="center" vertical="center"/>
      <protection locked="0" hidden="1"/>
    </xf>
    <xf numFmtId="0" fontId="11" fillId="2" borderId="13" xfId="1" applyFont="1" applyFill="1" applyBorder="1" applyAlignment="1" applyProtection="1">
      <alignment vertical="center" shrinkToFit="1"/>
      <protection locked="0" hidden="1"/>
    </xf>
    <xf numFmtId="1" fontId="18" fillId="3" borderId="18" xfId="1" applyNumberFormat="1" applyFont="1" applyFill="1" applyBorder="1" applyAlignment="1" applyProtection="1">
      <alignment horizontal="center" vertical="center" wrapText="1"/>
      <protection locked="0" hidden="1"/>
    </xf>
    <xf numFmtId="0" fontId="11" fillId="2" borderId="20" xfId="1" applyFont="1" applyFill="1" applyBorder="1" applyAlignment="1" applyProtection="1">
      <alignment horizontal="center" vertical="center" shrinkToFit="1"/>
      <protection locked="0" hidden="1"/>
    </xf>
    <xf numFmtId="0" fontId="15" fillId="2" borderId="21" xfId="1" applyFont="1" applyFill="1" applyBorder="1" applyAlignment="1" applyProtection="1">
      <alignment horizontal="center" vertical="center"/>
      <protection hidden="1"/>
    </xf>
    <xf numFmtId="44" fontId="0" fillId="0" borderId="0" xfId="0" applyNumberFormat="1"/>
    <xf numFmtId="0" fontId="4" fillId="0" borderId="2" xfId="3" applyFont="1" applyBorder="1" applyAlignment="1" applyProtection="1">
      <alignment horizontal="center" vertical="center"/>
      <protection locked="0" hidden="1"/>
    </xf>
    <xf numFmtId="0" fontId="4" fillId="0" borderId="8" xfId="3" applyFont="1" applyBorder="1" applyAlignment="1" applyProtection="1">
      <alignment horizontal="center" vertical="center"/>
      <protection locked="0" hidden="1"/>
    </xf>
    <xf numFmtId="0" fontId="5" fillId="2" borderId="0" xfId="3" applyFont="1" applyFill="1" applyAlignment="1" applyProtection="1">
      <alignment horizontal="center" vertical="center"/>
      <protection locked="0" hidden="1"/>
    </xf>
    <xf numFmtId="0" fontId="8" fillId="0" borderId="0" xfId="3" applyFont="1" applyAlignment="1" applyProtection="1">
      <alignment horizontal="center"/>
      <protection locked="0" hidden="1"/>
    </xf>
    <xf numFmtId="0" fontId="9" fillId="0" borderId="2" xfId="3" applyFont="1" applyBorder="1" applyAlignment="1" applyProtection="1">
      <alignment horizontal="center"/>
      <protection locked="0" hidden="1"/>
    </xf>
    <xf numFmtId="0" fontId="9" fillId="0" borderId="3" xfId="3" applyFont="1" applyBorder="1" applyAlignment="1" applyProtection="1">
      <alignment horizontal="center"/>
      <protection locked="0" hidden="1"/>
    </xf>
    <xf numFmtId="0" fontId="17" fillId="0" borderId="2" xfId="3" applyFont="1" applyBorder="1" applyAlignment="1" applyProtection="1">
      <alignment horizontal="center" vertical="center" shrinkToFit="1"/>
      <protection locked="0" hidden="1"/>
    </xf>
    <xf numFmtId="0" fontId="17" fillId="0" borderId="3" xfId="3" applyFont="1" applyBorder="1" applyAlignment="1" applyProtection="1">
      <alignment horizontal="center" vertical="center" shrinkToFit="1"/>
      <protection locked="0" hidden="1"/>
    </xf>
    <xf numFmtId="0" fontId="17" fillId="0" borderId="4" xfId="3" applyFont="1" applyBorder="1" applyAlignment="1" applyProtection="1">
      <alignment horizontal="center" vertical="center" shrinkToFit="1"/>
      <protection locked="0" hidden="1"/>
    </xf>
    <xf numFmtId="0" fontId="11" fillId="2" borderId="5" xfId="3" applyFont="1" applyFill="1" applyBorder="1" applyAlignment="1" applyProtection="1">
      <alignment horizontal="left" vertical="center" shrinkToFit="1"/>
      <protection locked="0" hidden="1"/>
    </xf>
    <xf numFmtId="0" fontId="11" fillId="2" borderId="6" xfId="3" applyFont="1" applyFill="1" applyBorder="1" applyAlignment="1" applyProtection="1">
      <alignment horizontal="left" vertical="center" shrinkToFit="1"/>
      <protection locked="0" hidden="1"/>
    </xf>
    <xf numFmtId="0" fontId="4" fillId="0" borderId="2" xfId="3" applyFont="1" applyBorder="1" applyAlignment="1" applyProtection="1">
      <alignment horizontal="left" vertical="center"/>
      <protection locked="0" hidden="1"/>
    </xf>
    <xf numFmtId="0" fontId="4" fillId="0" borderId="3" xfId="3" applyFont="1" applyBorder="1" applyAlignment="1" applyProtection="1">
      <alignment horizontal="left" vertical="center"/>
      <protection locked="0" hidden="1"/>
    </xf>
    <xf numFmtId="0" fontId="4" fillId="0" borderId="3" xfId="3" applyFont="1" applyBorder="1" applyAlignment="1" applyProtection="1">
      <alignment horizontal="center" vertical="center"/>
      <protection locked="0" hidden="1"/>
    </xf>
    <xf numFmtId="0" fontId="9" fillId="0" borderId="2" xfId="3" applyFont="1" applyBorder="1" applyAlignment="1" applyProtection="1">
      <alignment horizontal="left"/>
      <protection locked="0" hidden="1"/>
    </xf>
    <xf numFmtId="0" fontId="9" fillId="0" borderId="3" xfId="3" applyFont="1" applyBorder="1" applyAlignment="1" applyProtection="1">
      <alignment horizontal="left"/>
      <protection locked="0" hidden="1"/>
    </xf>
    <xf numFmtId="0" fontId="4" fillId="4" borderId="2" xfId="0" applyFont="1" applyFill="1" applyBorder="1" applyAlignment="1" applyProtection="1">
      <alignment horizontal="left" vertical="center"/>
      <protection locked="0" hidden="1"/>
    </xf>
    <xf numFmtId="0" fontId="4" fillId="4" borderId="3" xfId="0" applyFont="1" applyFill="1" applyBorder="1" applyAlignment="1" applyProtection="1">
      <alignment horizontal="left" vertical="center"/>
      <protection locked="0" hidden="1"/>
    </xf>
    <xf numFmtId="166" fontId="17" fillId="3" borderId="0" xfId="3" applyNumberFormat="1" applyFont="1" applyFill="1" applyProtection="1">
      <protection hidden="1"/>
    </xf>
    <xf numFmtId="0" fontId="45" fillId="3" borderId="0" xfId="3" applyFont="1" applyFill="1" applyAlignment="1" applyProtection="1">
      <alignment horizontal="center"/>
      <protection hidden="1"/>
    </xf>
    <xf numFmtId="0" fontId="48" fillId="2" borderId="0" xfId="1" applyFont="1" applyFill="1" applyAlignment="1" applyProtection="1">
      <alignment horizontal="center" vertical="center"/>
      <protection locked="0" hidden="1"/>
    </xf>
    <xf numFmtId="0" fontId="11" fillId="2" borderId="22" xfId="1" applyFont="1" applyFill="1" applyBorder="1" applyAlignment="1" applyProtection="1">
      <alignment horizontal="center" vertical="center"/>
      <protection locked="0" hidden="1"/>
    </xf>
    <xf numFmtId="0" fontId="11" fillId="2" borderId="15" xfId="1" applyFont="1" applyFill="1" applyBorder="1" applyAlignment="1" applyProtection="1">
      <alignment horizontal="center" vertical="center"/>
      <protection locked="0" hidden="1"/>
    </xf>
    <xf numFmtId="0" fontId="23" fillId="2" borderId="10" xfId="1" applyFont="1" applyFill="1" applyBorder="1" applyAlignment="1" applyProtection="1">
      <alignment horizontal="center" vertical="center" wrapText="1"/>
      <protection locked="0" hidden="1"/>
    </xf>
    <xf numFmtId="0" fontId="23" fillId="2" borderId="18" xfId="1" applyFont="1" applyFill="1" applyBorder="1" applyAlignment="1" applyProtection="1">
      <alignment horizontal="center" vertical="center" wrapText="1"/>
      <protection locked="0" hidden="1"/>
    </xf>
    <xf numFmtId="0" fontId="11" fillId="0" borderId="5" xfId="1" applyFont="1" applyBorder="1" applyAlignment="1" applyProtection="1">
      <alignment horizontal="center" vertical="center" shrinkToFit="1"/>
      <protection locked="0" hidden="1"/>
    </xf>
    <xf numFmtId="0" fontId="11" fillId="0" borderId="6" xfId="1" applyFont="1" applyBorder="1" applyAlignment="1" applyProtection="1">
      <alignment horizontal="center" vertical="center" shrinkToFit="1"/>
      <protection locked="0" hidden="1"/>
    </xf>
    <xf numFmtId="0" fontId="11" fillId="0" borderId="12" xfId="1" applyFont="1" applyBorder="1" applyAlignment="1" applyProtection="1">
      <alignment horizontal="center" vertical="center" shrinkToFit="1"/>
      <protection locked="0" hidden="1"/>
    </xf>
    <xf numFmtId="0" fontId="11" fillId="0" borderId="13" xfId="1" applyFont="1" applyBorder="1" applyAlignment="1" applyProtection="1">
      <alignment horizontal="center" vertical="center" shrinkToFit="1"/>
      <protection locked="0" hidden="1"/>
    </xf>
    <xf numFmtId="0" fontId="11" fillId="2" borderId="5" xfId="1" applyFont="1" applyFill="1" applyBorder="1" applyAlignment="1" applyProtection="1">
      <alignment horizontal="center" vertical="center" shrinkToFit="1"/>
      <protection locked="0" hidden="1"/>
    </xf>
    <xf numFmtId="0" fontId="11" fillId="2" borderId="6" xfId="1" applyFont="1" applyFill="1" applyBorder="1" applyAlignment="1" applyProtection="1">
      <alignment horizontal="center" vertical="center" shrinkToFit="1"/>
      <protection locked="0" hidden="1"/>
    </xf>
    <xf numFmtId="0" fontId="15" fillId="0" borderId="5" xfId="1" applyFont="1" applyBorder="1" applyAlignment="1" applyProtection="1">
      <alignment horizontal="center" vertical="center" shrinkToFit="1"/>
      <protection locked="0" hidden="1"/>
    </xf>
    <xf numFmtId="0" fontId="15" fillId="0" borderId="6" xfId="1" applyFont="1" applyBorder="1" applyAlignment="1" applyProtection="1">
      <alignment horizontal="center" vertical="center" shrinkToFit="1"/>
      <protection locked="0" hidden="1"/>
    </xf>
    <xf numFmtId="0" fontId="15" fillId="0" borderId="12" xfId="1" applyFont="1" applyBorder="1" applyAlignment="1" applyProtection="1">
      <alignment horizontal="center" vertical="center" shrinkToFit="1"/>
      <protection locked="0" hidden="1"/>
    </xf>
    <xf numFmtId="0" fontId="15" fillId="0" borderId="13" xfId="1" applyFont="1" applyBorder="1" applyAlignment="1" applyProtection="1">
      <alignment horizontal="center" vertical="center" shrinkToFit="1"/>
      <protection locked="0" hidden="1"/>
    </xf>
    <xf numFmtId="0" fontId="8" fillId="0" borderId="0" xfId="1" applyFont="1" applyAlignment="1" applyProtection="1">
      <alignment horizontal="center"/>
      <protection locked="0" hidden="1"/>
    </xf>
    <xf numFmtId="0" fontId="11" fillId="0" borderId="2" xfId="1" applyFont="1" applyBorder="1" applyAlignment="1" applyProtection="1">
      <alignment horizontal="center" vertical="center" wrapText="1" shrinkToFit="1"/>
      <protection locked="0" hidden="1"/>
    </xf>
    <xf numFmtId="0" fontId="11" fillId="0" borderId="3" xfId="1" applyFont="1" applyBorder="1" applyAlignment="1" applyProtection="1">
      <alignment horizontal="center" vertical="center" wrapText="1" shrinkToFit="1"/>
      <protection locked="0" hidden="1"/>
    </xf>
    <xf numFmtId="0" fontId="11" fillId="0" borderId="6" xfId="1" applyFont="1" applyBorder="1" applyAlignment="1" applyProtection="1">
      <alignment horizontal="center" vertical="center" wrapText="1" shrinkToFit="1"/>
      <protection locked="0" hidden="1"/>
    </xf>
    <xf numFmtId="0" fontId="11" fillId="0" borderId="4" xfId="1" applyFont="1" applyBorder="1" applyAlignment="1" applyProtection="1">
      <alignment horizontal="center" vertical="center" wrapText="1" shrinkToFit="1"/>
      <protection locked="0" hidden="1"/>
    </xf>
    <xf numFmtId="0" fontId="41" fillId="0" borderId="0" xfId="1" applyFont="1" applyAlignment="1" applyProtection="1">
      <alignment horizontal="left"/>
      <protection hidden="1"/>
    </xf>
    <xf numFmtId="0" fontId="41" fillId="0" borderId="0" xfId="1" applyFont="1" applyAlignment="1" applyProtection="1">
      <alignment horizontal="center"/>
      <protection hidden="1"/>
    </xf>
    <xf numFmtId="0" fontId="41" fillId="0" borderId="0" xfId="1" applyFont="1" applyAlignment="1" applyProtection="1">
      <alignment horizontal="left"/>
      <protection locked="0" hidden="1"/>
    </xf>
    <xf numFmtId="0" fontId="11" fillId="2" borderId="9" xfId="1" applyFont="1" applyFill="1" applyBorder="1" applyAlignment="1" applyProtection="1">
      <alignment horizontal="center" vertical="center" shrinkToFit="1"/>
      <protection locked="0" hidden="1"/>
    </xf>
    <xf numFmtId="0" fontId="4" fillId="0" borderId="12" xfId="1" applyFont="1" applyBorder="1" applyAlignment="1" applyProtection="1">
      <alignment horizontal="center" vertical="center"/>
      <protection locked="0" hidden="1"/>
    </xf>
    <xf numFmtId="0" fontId="4" fillId="0" borderId="14" xfId="1" applyFont="1" applyBorder="1" applyAlignment="1" applyProtection="1">
      <alignment horizontal="center" vertical="center"/>
      <protection locked="0" hidden="1"/>
    </xf>
    <xf numFmtId="0" fontId="25" fillId="0" borderId="2" xfId="1" applyFont="1" applyBorder="1" applyAlignment="1" applyProtection="1">
      <alignment horizontal="center" vertical="center"/>
      <protection locked="0" hidden="1"/>
    </xf>
    <xf numFmtId="0" fontId="25" fillId="0" borderId="8" xfId="1" applyFont="1" applyBorder="1" applyAlignment="1" applyProtection="1">
      <alignment horizontal="center" vertical="center"/>
      <protection locked="0" hidden="1"/>
    </xf>
    <xf numFmtId="0" fontId="4" fillId="0" borderId="2" xfId="1" applyFont="1" applyBorder="1" applyAlignment="1" applyProtection="1">
      <alignment horizontal="center" vertical="center"/>
      <protection locked="0" hidden="1"/>
    </xf>
    <xf numFmtId="0" fontId="4" fillId="0" borderId="3" xfId="1" applyFont="1" applyBorder="1" applyAlignment="1" applyProtection="1">
      <alignment horizontal="center" vertical="center"/>
      <protection locked="0" hidden="1"/>
    </xf>
    <xf numFmtId="0" fontId="9" fillId="0" borderId="2" xfId="1" applyFont="1" applyBorder="1" applyAlignment="1" applyProtection="1">
      <alignment horizontal="center" vertical="center" wrapText="1" shrinkToFit="1"/>
      <protection locked="0" hidden="1"/>
    </xf>
    <xf numFmtId="0" fontId="9" fillId="0" borderId="3" xfId="1" applyFont="1" applyBorder="1" applyAlignment="1" applyProtection="1">
      <alignment horizontal="center" vertical="center" wrapText="1" shrinkToFit="1"/>
      <protection locked="0" hidden="1"/>
    </xf>
    <xf numFmtId="0" fontId="9" fillId="0" borderId="4" xfId="1" applyFont="1" applyBorder="1" applyAlignment="1" applyProtection="1">
      <alignment horizontal="center" vertical="center" wrapText="1" shrinkToFit="1"/>
      <protection locked="0" hidden="1"/>
    </xf>
    <xf numFmtId="0" fontId="27" fillId="0" borderId="2" xfId="1" applyFont="1" applyBorder="1" applyAlignment="1" applyProtection="1">
      <alignment horizontal="center" vertical="center" wrapText="1" shrinkToFit="1"/>
      <protection locked="0" hidden="1"/>
    </xf>
    <xf numFmtId="0" fontId="27" fillId="0" borderId="3" xfId="1" applyFont="1" applyBorder="1" applyAlignment="1" applyProtection="1">
      <alignment horizontal="center" vertical="center" wrapText="1" shrinkToFit="1"/>
      <protection locked="0" hidden="1"/>
    </xf>
    <xf numFmtId="0" fontId="27" fillId="0" borderId="4" xfId="1" applyFont="1" applyBorder="1" applyAlignment="1" applyProtection="1">
      <alignment horizontal="center" vertical="center" wrapText="1" shrinkToFit="1"/>
      <protection locked="0" hidden="1"/>
    </xf>
    <xf numFmtId="0" fontId="25" fillId="0" borderId="12" xfId="1" applyFont="1" applyBorder="1" applyAlignment="1" applyProtection="1">
      <alignment horizontal="left" vertical="center"/>
      <protection locked="0" hidden="1"/>
    </xf>
    <xf numFmtId="0" fontId="25" fillId="0" borderId="14" xfId="1" applyFont="1" applyBorder="1" applyAlignment="1" applyProtection="1">
      <alignment horizontal="left" vertical="center"/>
      <protection locked="0" hidden="1"/>
    </xf>
    <xf numFmtId="0" fontId="25" fillId="0" borderId="2" xfId="1" applyFont="1" applyBorder="1" applyAlignment="1" applyProtection="1">
      <alignment horizontal="left" vertical="center"/>
      <protection locked="0" hidden="1"/>
    </xf>
    <xf numFmtId="0" fontId="25" fillId="0" borderId="8" xfId="1" applyFont="1" applyBorder="1" applyAlignment="1" applyProtection="1">
      <alignment horizontal="left" vertical="center"/>
      <protection locked="0" hidden="1"/>
    </xf>
  </cellXfs>
  <cellStyles count="4">
    <cellStyle name="Normální" xfId="0" builtinId="0"/>
    <cellStyle name="Normální 2" xfId="1" xr:uid="{4ABEAC3F-CA35-4CA4-82B0-AE1C6A8F5B6C}"/>
    <cellStyle name="Normální 2 2" xfId="2" xr:uid="{B30C848A-188F-4809-A04B-996E8ADA877F}"/>
    <cellStyle name="Normální 3" xfId="3" xr:uid="{017A1E30-59C2-449C-9C56-642C085CE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828A-B7BC-4DE8-8915-FF4D344B2DA1}">
  <sheetPr codeName="List1"/>
  <dimension ref="B2:Y28"/>
  <sheetViews>
    <sheetView zoomScale="85" zoomScaleNormal="85" workbookViewId="0">
      <selection activeCell="H34" sqref="H34"/>
    </sheetView>
  </sheetViews>
  <sheetFormatPr defaultRowHeight="15" x14ac:dyDescent="0.25"/>
  <cols>
    <col min="2" max="2" width="12.28515625" customWidth="1"/>
    <col min="3" max="25" width="15" bestFit="1" customWidth="1"/>
  </cols>
  <sheetData>
    <row r="2" spans="2:25" ht="27" customHeight="1" x14ac:dyDescent="0.4">
      <c r="B2" s="170" t="s">
        <v>50</v>
      </c>
      <c r="C2" s="170">
        <v>800</v>
      </c>
      <c r="D2" s="170">
        <v>900</v>
      </c>
      <c r="E2" s="170">
        <v>1000</v>
      </c>
      <c r="F2" s="170">
        <v>1100</v>
      </c>
      <c r="G2" s="170">
        <v>1200</v>
      </c>
      <c r="H2" s="170">
        <v>1300</v>
      </c>
      <c r="I2" s="170">
        <v>1400</v>
      </c>
      <c r="J2" s="170">
        <v>1500</v>
      </c>
      <c r="K2" s="170">
        <v>1600</v>
      </c>
      <c r="L2" s="170">
        <v>1700</v>
      </c>
      <c r="M2" s="170">
        <v>1800</v>
      </c>
      <c r="N2" s="170">
        <v>1900</v>
      </c>
      <c r="O2" s="170">
        <v>2000</v>
      </c>
      <c r="P2" s="170">
        <v>2100</v>
      </c>
      <c r="Q2" s="170">
        <v>2200</v>
      </c>
      <c r="R2" s="170">
        <v>2300</v>
      </c>
      <c r="S2" s="170">
        <v>2400</v>
      </c>
      <c r="T2" s="170">
        <v>2500</v>
      </c>
      <c r="U2" s="170">
        <v>2600</v>
      </c>
      <c r="V2" s="170">
        <v>2700</v>
      </c>
      <c r="W2" s="170">
        <v>2800</v>
      </c>
      <c r="X2" s="170">
        <v>2900</v>
      </c>
      <c r="Y2" s="170">
        <v>3000</v>
      </c>
    </row>
    <row r="3" spans="2:25" ht="24" customHeight="1" x14ac:dyDescent="0.25">
      <c r="B3" s="171" t="s">
        <v>39</v>
      </c>
      <c r="C3" s="172">
        <v>15325.157232000001</v>
      </c>
      <c r="D3" s="172">
        <v>17097.883704000003</v>
      </c>
      <c r="E3" s="172">
        <v>18419.764176000004</v>
      </c>
      <c r="F3" s="172">
        <v>18654.204096000005</v>
      </c>
      <c r="G3" s="172">
        <v>20803.837823999998</v>
      </c>
      <c r="H3" s="172">
        <v>22416.063120000003</v>
      </c>
      <c r="I3" s="172">
        <v>23739.746976000002</v>
      </c>
      <c r="J3" s="172">
        <v>24998.509008000005</v>
      </c>
      <c r="K3" s="172">
        <v>26424.985752000001</v>
      </c>
      <c r="L3" s="172">
        <v>27754.079760000004</v>
      </c>
      <c r="M3" s="172">
        <v>28711.676664000006</v>
      </c>
      <c r="N3" s="172">
        <v>29726.981856000006</v>
      </c>
      <c r="O3" s="172">
        <v>30942.462672000005</v>
      </c>
      <c r="P3" s="172">
        <v>31936.127256000003</v>
      </c>
      <c r="Q3" s="172">
        <v>32634.036864000002</v>
      </c>
      <c r="R3" s="172">
        <v>33505.071336000008</v>
      </c>
      <c r="S3" s="172">
        <v>34803.507815999998</v>
      </c>
      <c r="T3" s="172">
        <v>35779.138559999999</v>
      </c>
      <c r="U3" s="172">
        <v>36588.857975999999</v>
      </c>
      <c r="V3" s="172">
        <v>37369.723248000009</v>
      </c>
      <c r="W3" s="172">
        <v>38065.829472000005</v>
      </c>
      <c r="X3" s="172">
        <v>39333.608424000005</v>
      </c>
      <c r="Y3" s="172">
        <v>40543.679088000004</v>
      </c>
    </row>
    <row r="4" spans="2:25" ht="24" customHeight="1" x14ac:dyDescent="0.25">
      <c r="B4" s="171" t="s">
        <v>40</v>
      </c>
      <c r="C4" s="172">
        <v>19467.530280000003</v>
      </c>
      <c r="D4" s="172">
        <v>21056.311584000003</v>
      </c>
      <c r="E4" s="172">
        <v>22729.851936000003</v>
      </c>
      <c r="F4" s="172">
        <v>23815.489104000004</v>
      </c>
      <c r="G4" s="172">
        <v>25876.757016000007</v>
      </c>
      <c r="H4" s="172">
        <v>27941.631696000004</v>
      </c>
      <c r="I4" s="172">
        <v>29647.632960000003</v>
      </c>
      <c r="J4" s="172">
        <v>31333.797000000006</v>
      </c>
      <c r="K4" s="172">
        <v>33081.276096000009</v>
      </c>
      <c r="L4" s="172">
        <v>35001.880056000002</v>
      </c>
      <c r="M4" s="172">
        <v>36349.007904000006</v>
      </c>
      <c r="N4" s="172">
        <v>37811.552328000005</v>
      </c>
      <c r="O4" s="172">
        <v>39178.517400000012</v>
      </c>
      <c r="P4" s="172">
        <v>40684.343040000014</v>
      </c>
      <c r="Q4" s="172">
        <v>41769.980208000001</v>
      </c>
      <c r="R4" s="172">
        <v>42931.359504000007</v>
      </c>
      <c r="S4" s="172">
        <v>44668.018296000002</v>
      </c>
      <c r="T4" s="172">
        <v>45833.004360000014</v>
      </c>
      <c r="U4" s="172">
        <v>47255.874336000001</v>
      </c>
      <c r="V4" s="172">
        <v>48355.938576000008</v>
      </c>
      <c r="W4" s="172">
        <v>49412.721599999997</v>
      </c>
      <c r="X4" s="172">
        <v>50857.232184000008</v>
      </c>
      <c r="Y4" s="172">
        <v>52150.258512000008</v>
      </c>
    </row>
    <row r="5" spans="2:25" ht="24" customHeight="1" x14ac:dyDescent="0.25">
      <c r="B5" s="171" t="s">
        <v>41</v>
      </c>
      <c r="C5" s="172">
        <v>25332.135048000004</v>
      </c>
      <c r="D5" s="172">
        <v>27642.269952000006</v>
      </c>
      <c r="E5" s="172">
        <v>30073.231584000008</v>
      </c>
      <c r="F5" s="172">
        <v>31203.953352000008</v>
      </c>
      <c r="G5" s="172">
        <v>34237.245240000004</v>
      </c>
      <c r="H5" s="172">
        <v>37180.367928</v>
      </c>
      <c r="I5" s="172">
        <v>39788.061192000008</v>
      </c>
      <c r="J5" s="172">
        <v>42332.636015999997</v>
      </c>
      <c r="K5" s="172">
        <v>44599.489704000007</v>
      </c>
      <c r="L5" s="172">
        <v>47185.542360000014</v>
      </c>
      <c r="M5" s="172">
        <v>49032.207576000008</v>
      </c>
      <c r="N5" s="172">
        <v>50983.469064000004</v>
      </c>
      <c r="O5" s="172">
        <v>52997.848992000007</v>
      </c>
      <c r="P5" s="172">
        <v>54689.423184000014</v>
      </c>
      <c r="Q5" s="172">
        <v>56000.48335200001</v>
      </c>
      <c r="R5" s="172">
        <v>57416.139792000002</v>
      </c>
      <c r="S5" s="172">
        <v>59609.054735999998</v>
      </c>
      <c r="T5" s="172">
        <v>61003.07056800001</v>
      </c>
      <c r="U5" s="172">
        <v>62667.594000000012</v>
      </c>
      <c r="V5" s="172">
        <v>63982.260935999999</v>
      </c>
      <c r="W5" s="172">
        <v>65277.090648000005</v>
      </c>
      <c r="X5" s="172">
        <v>67217.531832000008</v>
      </c>
      <c r="Y5" s="172">
        <v>68644.008576000007</v>
      </c>
    </row>
    <row r="6" spans="2:25" ht="24" customHeight="1" x14ac:dyDescent="0.25">
      <c r="B6" s="171" t="s">
        <v>53</v>
      </c>
      <c r="C6" s="172">
        <v>15369.249970800001</v>
      </c>
      <c r="D6" s="172">
        <v>16515.390672000005</v>
      </c>
      <c r="E6" s="172">
        <v>17848.271786400004</v>
      </c>
      <c r="F6" s="172">
        <v>18562.682358000002</v>
      </c>
      <c r="G6" s="172">
        <v>20262.191439600003</v>
      </c>
      <c r="H6" s="172">
        <v>21968.553380400001</v>
      </c>
      <c r="I6" s="172">
        <v>23291.155206000003</v>
      </c>
      <c r="J6" s="172">
        <v>24531.522721199999</v>
      </c>
      <c r="K6" s="172">
        <v>26044.291389600006</v>
      </c>
      <c r="L6" s="172">
        <v>27372.0328596</v>
      </c>
      <c r="M6" s="172">
        <v>28346.852080799999</v>
      </c>
      <c r="N6" s="172">
        <v>29374.780960800003</v>
      </c>
      <c r="O6" s="172">
        <v>30529.487736000006</v>
      </c>
      <c r="P6" s="172">
        <v>31538.571253200003</v>
      </c>
      <c r="Q6" s="172">
        <v>32259.834684000009</v>
      </c>
      <c r="R6" s="172">
        <v>33145.566735599998</v>
      </c>
      <c r="S6" s="172">
        <v>34440.757124399999</v>
      </c>
      <c r="T6" s="172">
        <v>35422.429204799999</v>
      </c>
      <c r="U6" s="172">
        <v>36301.308397200002</v>
      </c>
      <c r="V6" s="172">
        <v>36983.167887600008</v>
      </c>
      <c r="W6" s="172">
        <v>37697.578459200005</v>
      </c>
      <c r="X6" s="172">
        <v>38951.651692800013</v>
      </c>
      <c r="Y6" s="172">
        <v>40407.884272800002</v>
      </c>
    </row>
    <row r="7" spans="2:25" ht="24" customHeight="1" x14ac:dyDescent="0.25">
      <c r="B7" s="171" t="s">
        <v>75</v>
      </c>
      <c r="C7" s="172">
        <v>17515.908115200004</v>
      </c>
      <c r="D7" s="172">
        <v>18925.027288200003</v>
      </c>
      <c r="E7" s="172">
        <v>20442.935601000005</v>
      </c>
      <c r="F7" s="172">
        <v>21383.490526199999</v>
      </c>
      <c r="G7" s="172">
        <v>23268.883413600004</v>
      </c>
      <c r="H7" s="172">
        <v>25207.385959800002</v>
      </c>
      <c r="I7" s="172">
        <v>26738.143383600003</v>
      </c>
      <c r="J7" s="172">
        <v>28224.357222600003</v>
      </c>
      <c r="K7" s="172">
        <v>29905.877548800003</v>
      </c>
      <c r="L7" s="172">
        <v>31539.427860600001</v>
      </c>
      <c r="M7" s="172">
        <v>32724.972502199998</v>
      </c>
      <c r="N7" s="172">
        <v>33952.490906400002</v>
      </c>
      <c r="O7" s="172">
        <v>35252.820939600002</v>
      </c>
      <c r="P7" s="172">
        <v>36562.573654200009</v>
      </c>
      <c r="Q7" s="172">
        <v>37498.845542400006</v>
      </c>
      <c r="R7" s="172">
        <v>38555.899074000001</v>
      </c>
      <c r="S7" s="172">
        <v>40071.2375646</v>
      </c>
      <c r="T7" s="172">
        <v>41129.1477036</v>
      </c>
      <c r="U7" s="172">
        <v>42369.515218799999</v>
      </c>
      <c r="V7" s="172">
        <v>43246.681196400008</v>
      </c>
      <c r="W7" s="172">
        <v>44157.254862600006</v>
      </c>
      <c r="X7" s="172">
        <v>45477.286866000009</v>
      </c>
      <c r="Y7" s="172">
        <v>46868.417283600007</v>
      </c>
    </row>
    <row r="8" spans="2:25" ht="24" customHeight="1" x14ac:dyDescent="0.25">
      <c r="B8" s="171" t="s">
        <v>43</v>
      </c>
      <c r="C8" s="172">
        <v>19662.566259600004</v>
      </c>
      <c r="D8" s="172">
        <v>21334.6639044</v>
      </c>
      <c r="E8" s="172">
        <v>23037.599415600005</v>
      </c>
      <c r="F8" s="172">
        <v>24204.298694399997</v>
      </c>
      <c r="G8" s="172">
        <v>26275.575387600005</v>
      </c>
      <c r="H8" s="172">
        <v>28446.218539200003</v>
      </c>
      <c r="I8" s="172">
        <v>30185.131561200003</v>
      </c>
      <c r="J8" s="172">
        <v>31917.191724000004</v>
      </c>
      <c r="K8" s="172">
        <v>33767.463708000003</v>
      </c>
      <c r="L8" s="172">
        <v>35706.822861599998</v>
      </c>
      <c r="M8" s="172">
        <v>37103.092923600001</v>
      </c>
      <c r="N8" s="172">
        <v>38530.200852000002</v>
      </c>
      <c r="O8" s="172">
        <v>39976.154143200001</v>
      </c>
      <c r="P8" s="172">
        <v>41586.576055200007</v>
      </c>
      <c r="Q8" s="172">
        <v>42737.856400800003</v>
      </c>
      <c r="R8" s="172">
        <v>43966.231412399997</v>
      </c>
      <c r="S8" s="172">
        <v>45701.718004800001</v>
      </c>
      <c r="T8" s="172">
        <v>46835.866202399993</v>
      </c>
      <c r="U8" s="172">
        <v>48437.722040399996</v>
      </c>
      <c r="V8" s="172">
        <v>49510.194505200001</v>
      </c>
      <c r="W8" s="172">
        <v>50616.931266000007</v>
      </c>
      <c r="X8" s="172">
        <v>52002.922039199999</v>
      </c>
      <c r="Y8" s="172">
        <v>53328.950294400005</v>
      </c>
    </row>
    <row r="9" spans="2:25" ht="24" customHeight="1" x14ac:dyDescent="0.25">
      <c r="B9" s="171" t="s">
        <v>55</v>
      </c>
      <c r="C9" s="172">
        <v>25477.217290800003</v>
      </c>
      <c r="D9" s="172">
        <v>27814.042278000001</v>
      </c>
      <c r="E9" s="172">
        <v>30234.814790400003</v>
      </c>
      <c r="F9" s="172">
        <v>31350.117625200004</v>
      </c>
      <c r="G9" s="172">
        <v>34380.794606400006</v>
      </c>
      <c r="H9" s="172">
        <v>37377.207291600003</v>
      </c>
      <c r="I9" s="172">
        <v>39976.154143200001</v>
      </c>
      <c r="J9" s="172">
        <v>42540.836698800005</v>
      </c>
      <c r="K9" s="172">
        <v>44732.038428</v>
      </c>
      <c r="L9" s="172">
        <v>47377.242079200005</v>
      </c>
      <c r="M9" s="172">
        <v>49239.506566799995</v>
      </c>
      <c r="N9" s="172">
        <v>51213.130016400006</v>
      </c>
      <c r="O9" s="172">
        <v>53229.583835999998</v>
      </c>
      <c r="P9" s="172">
        <v>54989.055435600007</v>
      </c>
      <c r="Q9" s="172">
        <v>56344.208342399994</v>
      </c>
      <c r="R9" s="172">
        <v>57766.176626399996</v>
      </c>
      <c r="S9" s="172">
        <v>59972.797288800008</v>
      </c>
      <c r="T9" s="172">
        <v>61315.957692000011</v>
      </c>
      <c r="U9" s="172">
        <v>63145.671098400009</v>
      </c>
      <c r="V9" s="172">
        <v>64408.310405999997</v>
      </c>
      <c r="W9" s="172">
        <v>65739.478305600016</v>
      </c>
      <c r="X9" s="172">
        <v>67572.618141600018</v>
      </c>
      <c r="Y9" s="172">
        <v>69083.673595200016</v>
      </c>
    </row>
    <row r="10" spans="2:25" ht="24" customHeight="1" x14ac:dyDescent="0.25">
      <c r="B10" s="171" t="s">
        <v>42</v>
      </c>
      <c r="C10" s="172">
        <v>16178.157864000001</v>
      </c>
      <c r="D10" s="172">
        <v>17384.621760000002</v>
      </c>
      <c r="E10" s="172">
        <v>18787.654512000001</v>
      </c>
      <c r="F10" s="172">
        <v>19539.665640000007</v>
      </c>
      <c r="G10" s="172">
        <v>21328.622567999999</v>
      </c>
      <c r="H10" s="172">
        <v>23124.793032000001</v>
      </c>
      <c r="I10" s="172">
        <v>24517.005480000003</v>
      </c>
      <c r="J10" s="172">
        <v>25822.655496000003</v>
      </c>
      <c r="K10" s="172">
        <v>27415.043567999997</v>
      </c>
      <c r="L10" s="172">
        <v>28812.666168000003</v>
      </c>
      <c r="M10" s="172">
        <v>29838.791664000004</v>
      </c>
      <c r="N10" s="172">
        <v>30920.822064000004</v>
      </c>
      <c r="O10" s="172">
        <v>32136.302879999999</v>
      </c>
      <c r="P10" s="172">
        <v>33198.496056000004</v>
      </c>
      <c r="Q10" s="172">
        <v>33957.720719999998</v>
      </c>
      <c r="R10" s="172">
        <v>34890.070248000004</v>
      </c>
      <c r="S10" s="172">
        <v>36253.428552000005</v>
      </c>
      <c r="T10" s="172">
        <v>37286.767584000008</v>
      </c>
      <c r="U10" s="172">
        <v>38211.903576000004</v>
      </c>
      <c r="V10" s="172">
        <v>38929.650408000001</v>
      </c>
      <c r="W10" s="172">
        <v>39681.661536000007</v>
      </c>
      <c r="X10" s="172">
        <v>41001.738624000005</v>
      </c>
      <c r="Y10" s="172">
        <v>42534.615024000006</v>
      </c>
    </row>
    <row r="11" spans="2:25" ht="24" customHeight="1" x14ac:dyDescent="0.25">
      <c r="B11" s="171" t="s">
        <v>76</v>
      </c>
      <c r="C11" s="172">
        <v>18437.798016000001</v>
      </c>
      <c r="D11" s="172">
        <v>19921.081356000002</v>
      </c>
      <c r="E11" s="172">
        <v>21518.879580000001</v>
      </c>
      <c r="F11" s="172">
        <v>22508.937396000001</v>
      </c>
      <c r="G11" s="172">
        <v>24493.561487999999</v>
      </c>
      <c r="H11" s="172">
        <v>26534.090484000004</v>
      </c>
      <c r="I11" s="172">
        <v>28145.414088000005</v>
      </c>
      <c r="J11" s="172">
        <v>29709.849708000002</v>
      </c>
      <c r="K11" s="172">
        <v>31479.871103999998</v>
      </c>
      <c r="L11" s="172">
        <v>33199.397748000003</v>
      </c>
      <c r="M11" s="172">
        <v>34447.339476000008</v>
      </c>
      <c r="N11" s="172">
        <v>35739.464112000009</v>
      </c>
      <c r="O11" s="172">
        <v>37108.232567999999</v>
      </c>
      <c r="P11" s="172">
        <v>38486.919636000006</v>
      </c>
      <c r="Q11" s="172">
        <v>39472.468992000002</v>
      </c>
      <c r="R11" s="172">
        <v>40585.156920000009</v>
      </c>
      <c r="S11" s="172">
        <v>42180.250068000008</v>
      </c>
      <c r="T11" s="172">
        <v>43293.839688000007</v>
      </c>
      <c r="U11" s="172">
        <v>44599.489704000007</v>
      </c>
      <c r="V11" s="172">
        <v>45522.822312000004</v>
      </c>
      <c r="W11" s="172">
        <v>46481.320908000009</v>
      </c>
      <c r="X11" s="172">
        <v>47870.828280000002</v>
      </c>
      <c r="Y11" s="172">
        <v>49335.176088000007</v>
      </c>
    </row>
    <row r="12" spans="2:25" ht="24" customHeight="1" x14ac:dyDescent="0.25">
      <c r="B12" s="171" t="s">
        <v>54</v>
      </c>
      <c r="C12" s="172">
        <v>20697.438167999997</v>
      </c>
      <c r="D12" s="172">
        <v>22457.540951999999</v>
      </c>
      <c r="E12" s="172">
        <v>24250.104648000004</v>
      </c>
      <c r="F12" s="172">
        <v>25478.209151999999</v>
      </c>
      <c r="G12" s="172">
        <v>27658.500408</v>
      </c>
      <c r="H12" s="172">
        <v>29943.387936000006</v>
      </c>
      <c r="I12" s="172">
        <v>31773.822696000007</v>
      </c>
      <c r="J12" s="172">
        <v>33597.043920000004</v>
      </c>
      <c r="K12" s="172">
        <v>35544.698640000002</v>
      </c>
      <c r="L12" s="172">
        <v>37586.129328000003</v>
      </c>
      <c r="M12" s="172">
        <v>39055.887288000005</v>
      </c>
      <c r="N12" s="172">
        <v>40558.10616000001</v>
      </c>
      <c r="O12" s="172">
        <v>42080.162256000003</v>
      </c>
      <c r="P12" s="172">
        <v>43775.343216000008</v>
      </c>
      <c r="Q12" s="172">
        <v>44987.217264000006</v>
      </c>
      <c r="R12" s="172">
        <v>46280.243592000006</v>
      </c>
      <c r="S12" s="172">
        <v>48107.071584000005</v>
      </c>
      <c r="T12" s="172">
        <v>49300.911791999999</v>
      </c>
      <c r="U12" s="172">
        <v>50987.075832000002</v>
      </c>
      <c r="V12" s="172">
        <v>52115.994215999999</v>
      </c>
      <c r="W12" s="172">
        <v>53280.980280000003</v>
      </c>
      <c r="X12" s="172">
        <v>54739.917936000005</v>
      </c>
      <c r="Y12" s="172">
        <v>56135.737152000002</v>
      </c>
    </row>
    <row r="13" spans="2:25" ht="24" customHeight="1" x14ac:dyDescent="0.25">
      <c r="B13" s="171" t="s">
        <v>56</v>
      </c>
      <c r="C13" s="172">
        <v>26818.123464000004</v>
      </c>
      <c r="D13" s="172">
        <v>29277.939240000003</v>
      </c>
      <c r="E13" s="172">
        <v>31826.120832000011</v>
      </c>
      <c r="F13" s="172">
        <v>33000.123815999999</v>
      </c>
      <c r="G13" s="172">
        <v>36190.310112000006</v>
      </c>
      <c r="H13" s="172">
        <v>39344.428727999992</v>
      </c>
      <c r="I13" s="172">
        <v>42080.162256000003</v>
      </c>
      <c r="J13" s="172">
        <v>44779.828104</v>
      </c>
      <c r="K13" s="172">
        <v>47086.356240000008</v>
      </c>
      <c r="L13" s="172">
        <v>49870.781136000005</v>
      </c>
      <c r="M13" s="172">
        <v>51831.059544000011</v>
      </c>
      <c r="N13" s="172">
        <v>53908.557912000004</v>
      </c>
      <c r="O13" s="172">
        <v>56031.140880000006</v>
      </c>
      <c r="P13" s="172">
        <v>57883.216248000004</v>
      </c>
      <c r="Q13" s="172">
        <v>59309.692992000011</v>
      </c>
      <c r="R13" s="172">
        <v>60806.501712000012</v>
      </c>
      <c r="S13" s="172">
        <v>63129.26030400001</v>
      </c>
      <c r="T13" s="172">
        <v>64543.113360000003</v>
      </c>
      <c r="U13" s="172">
        <v>66469.127472000007</v>
      </c>
      <c r="V13" s="172">
        <v>67798.221480000007</v>
      </c>
      <c r="W13" s="172">
        <v>69199.450848000008</v>
      </c>
      <c r="X13" s="172">
        <v>71129.07172800001</v>
      </c>
      <c r="Y13" s="172">
        <v>72719.656415999998</v>
      </c>
    </row>
    <row r="17" spans="2:25" ht="27" customHeight="1" x14ac:dyDescent="0.25"/>
    <row r="19" spans="2:25" ht="24" customHeight="1" x14ac:dyDescent="0.25">
      <c r="B19" s="171" t="s">
        <v>53</v>
      </c>
      <c r="C19" s="172">
        <v>15369.249970800001</v>
      </c>
      <c r="D19" s="172">
        <v>16515.390672000005</v>
      </c>
      <c r="E19" s="172">
        <v>17848.271786400004</v>
      </c>
      <c r="F19" s="172">
        <v>18562.682358000002</v>
      </c>
      <c r="G19" s="172">
        <v>20262.191439600003</v>
      </c>
      <c r="H19" s="172">
        <v>21968.553380400001</v>
      </c>
      <c r="I19" s="172">
        <v>23291.155206000003</v>
      </c>
      <c r="J19" s="172">
        <v>24531.522721199999</v>
      </c>
      <c r="K19" s="172">
        <v>26044.291389600006</v>
      </c>
      <c r="L19" s="172">
        <v>27372.0328596</v>
      </c>
      <c r="M19" s="172">
        <v>28346.852080799999</v>
      </c>
      <c r="N19" s="172">
        <v>29374.780960800003</v>
      </c>
      <c r="O19" s="172">
        <v>30529.487736000006</v>
      </c>
      <c r="P19" s="172">
        <v>31538.571253200003</v>
      </c>
      <c r="Q19" s="172">
        <v>32259.834684000009</v>
      </c>
      <c r="R19" s="172">
        <v>33145.566735599998</v>
      </c>
      <c r="S19" s="172">
        <v>34440.757124399999</v>
      </c>
      <c r="T19" s="172">
        <v>35422.429204799999</v>
      </c>
      <c r="U19" s="172">
        <v>36301.308397200002</v>
      </c>
      <c r="V19" s="172">
        <v>36983.167887600008</v>
      </c>
      <c r="W19" s="172">
        <v>37697.578459200005</v>
      </c>
      <c r="X19" s="172">
        <v>38951.651692800013</v>
      </c>
      <c r="Y19" s="172">
        <v>40407.884272800002</v>
      </c>
    </row>
    <row r="20" spans="2:25" ht="24" customHeight="1" x14ac:dyDescent="0.25">
      <c r="B20" s="171" t="s">
        <v>43</v>
      </c>
      <c r="C20" s="172">
        <v>19662.566259600004</v>
      </c>
      <c r="D20" s="172">
        <v>21334.6639044</v>
      </c>
      <c r="E20" s="172">
        <v>23037.599415600005</v>
      </c>
      <c r="F20" s="172">
        <v>24204.298694399997</v>
      </c>
      <c r="G20" s="172">
        <v>26275.575387600005</v>
      </c>
      <c r="H20" s="172">
        <v>28446.218539200003</v>
      </c>
      <c r="I20" s="172">
        <v>30185.131561200003</v>
      </c>
      <c r="J20" s="172">
        <v>31917.191724000004</v>
      </c>
      <c r="K20" s="172">
        <v>33767.463708000003</v>
      </c>
      <c r="L20" s="172">
        <v>35706.822861599998</v>
      </c>
      <c r="M20" s="172">
        <v>37103.092923600001</v>
      </c>
      <c r="N20" s="172">
        <v>38530.200852000002</v>
      </c>
      <c r="O20" s="172">
        <v>39976.154143200001</v>
      </c>
      <c r="P20" s="172">
        <v>41586.576055200007</v>
      </c>
      <c r="Q20" s="172">
        <v>42737.856400800003</v>
      </c>
      <c r="R20" s="172">
        <v>43966.231412399997</v>
      </c>
      <c r="S20" s="172">
        <v>45701.718004800001</v>
      </c>
      <c r="T20" s="172">
        <v>46835.866202399993</v>
      </c>
      <c r="U20" s="172">
        <v>48437.722040399996</v>
      </c>
      <c r="V20" s="172">
        <v>49510.194505200001</v>
      </c>
      <c r="W20" s="172">
        <v>50616.931266000007</v>
      </c>
      <c r="X20" s="172">
        <v>52002.922039199999</v>
      </c>
      <c r="Y20" s="172">
        <v>53328.950294400005</v>
      </c>
    </row>
    <row r="22" spans="2:25" ht="15.75" x14ac:dyDescent="0.25">
      <c r="B22" s="171" t="s">
        <v>75</v>
      </c>
      <c r="C22" s="242">
        <f>(C19+C20)/2</f>
        <v>17515.908115200004</v>
      </c>
      <c r="D22" s="242">
        <f t="shared" ref="D22:Y22" si="0">(D19+D20)/2</f>
        <v>18925.027288200003</v>
      </c>
      <c r="E22" s="242">
        <f t="shared" si="0"/>
        <v>20442.935601000005</v>
      </c>
      <c r="F22" s="242">
        <f t="shared" si="0"/>
        <v>21383.490526199999</v>
      </c>
      <c r="G22" s="242">
        <f t="shared" si="0"/>
        <v>23268.883413600004</v>
      </c>
      <c r="H22" s="242">
        <f t="shared" si="0"/>
        <v>25207.385959800002</v>
      </c>
      <c r="I22" s="242">
        <f t="shared" si="0"/>
        <v>26738.143383600003</v>
      </c>
      <c r="J22" s="242">
        <f t="shared" si="0"/>
        <v>28224.357222600003</v>
      </c>
      <c r="K22" s="242">
        <f t="shared" si="0"/>
        <v>29905.877548800003</v>
      </c>
      <c r="L22" s="242">
        <f t="shared" si="0"/>
        <v>31539.427860600001</v>
      </c>
      <c r="M22" s="242">
        <f t="shared" si="0"/>
        <v>32724.972502199998</v>
      </c>
      <c r="N22" s="242">
        <f t="shared" si="0"/>
        <v>33952.490906400002</v>
      </c>
      <c r="O22" s="242">
        <f t="shared" si="0"/>
        <v>35252.820939600002</v>
      </c>
      <c r="P22" s="242">
        <f t="shared" si="0"/>
        <v>36562.573654200009</v>
      </c>
      <c r="Q22" s="242">
        <f t="shared" si="0"/>
        <v>37498.845542400006</v>
      </c>
      <c r="R22" s="242">
        <f t="shared" si="0"/>
        <v>38555.899074000001</v>
      </c>
      <c r="S22" s="242">
        <f t="shared" si="0"/>
        <v>40071.2375646</v>
      </c>
      <c r="T22" s="242">
        <f t="shared" si="0"/>
        <v>41129.1477036</v>
      </c>
      <c r="U22" s="242">
        <f t="shared" si="0"/>
        <v>42369.515218799999</v>
      </c>
      <c r="V22" s="242">
        <f t="shared" si="0"/>
        <v>43246.681196400008</v>
      </c>
      <c r="W22" s="242">
        <f t="shared" si="0"/>
        <v>44157.254862600006</v>
      </c>
      <c r="X22" s="242">
        <f t="shared" si="0"/>
        <v>45477.286866000009</v>
      </c>
      <c r="Y22" s="242">
        <f t="shared" si="0"/>
        <v>46868.417283600007</v>
      </c>
    </row>
    <row r="25" spans="2:25" ht="24" customHeight="1" x14ac:dyDescent="0.25">
      <c r="B25" s="171" t="s">
        <v>42</v>
      </c>
      <c r="C25" s="172">
        <v>16178.157864000001</v>
      </c>
      <c r="D25" s="172">
        <v>17384.621760000002</v>
      </c>
      <c r="E25" s="172">
        <v>18787.654512000001</v>
      </c>
      <c r="F25" s="172">
        <v>19539.665640000007</v>
      </c>
      <c r="G25" s="172">
        <v>21328.622567999999</v>
      </c>
      <c r="H25" s="172">
        <v>23124.793032000001</v>
      </c>
      <c r="I25" s="172">
        <v>24517.005480000003</v>
      </c>
      <c r="J25" s="172">
        <v>25822.655496000003</v>
      </c>
      <c r="K25" s="172">
        <v>27415.043567999997</v>
      </c>
      <c r="L25" s="172">
        <v>28812.666168000003</v>
      </c>
      <c r="M25" s="172">
        <v>29838.791664000004</v>
      </c>
      <c r="N25" s="172">
        <v>30920.822064000004</v>
      </c>
      <c r="O25" s="172">
        <v>32136.302879999999</v>
      </c>
      <c r="P25" s="172">
        <v>33198.496056000004</v>
      </c>
      <c r="Q25" s="172">
        <v>33957.720719999998</v>
      </c>
      <c r="R25" s="172">
        <v>34890.070248000004</v>
      </c>
      <c r="S25" s="172">
        <v>36253.428552000005</v>
      </c>
      <c r="T25" s="172">
        <v>37286.767584000008</v>
      </c>
      <c r="U25" s="172">
        <v>38211.903576000004</v>
      </c>
      <c r="V25" s="172">
        <v>38929.650408000001</v>
      </c>
      <c r="W25" s="172">
        <v>39681.661536000007</v>
      </c>
      <c r="X25" s="172">
        <v>41001.738624000005</v>
      </c>
      <c r="Y25" s="172">
        <v>42534.615024000006</v>
      </c>
    </row>
    <row r="26" spans="2:25" ht="24" customHeight="1" x14ac:dyDescent="0.25">
      <c r="B26" s="171" t="s">
        <v>54</v>
      </c>
      <c r="C26" s="172">
        <v>20697.438167999997</v>
      </c>
      <c r="D26" s="172">
        <v>22457.540951999999</v>
      </c>
      <c r="E26" s="172">
        <v>24250.104648000004</v>
      </c>
      <c r="F26" s="172">
        <v>25478.209151999999</v>
      </c>
      <c r="G26" s="172">
        <v>27658.500408</v>
      </c>
      <c r="H26" s="172">
        <v>29943.387936000006</v>
      </c>
      <c r="I26" s="172">
        <v>31773.822696000007</v>
      </c>
      <c r="J26" s="172">
        <v>33597.043920000004</v>
      </c>
      <c r="K26" s="172">
        <v>35544.698640000002</v>
      </c>
      <c r="L26" s="172">
        <v>37586.129328000003</v>
      </c>
      <c r="M26" s="172">
        <v>39055.887288000005</v>
      </c>
      <c r="N26" s="172">
        <v>40558.10616000001</v>
      </c>
      <c r="O26" s="172">
        <v>42080.162256000003</v>
      </c>
      <c r="P26" s="172">
        <v>43775.343216000008</v>
      </c>
      <c r="Q26" s="172">
        <v>44987.217264000006</v>
      </c>
      <c r="R26" s="172">
        <v>46280.243592000006</v>
      </c>
      <c r="S26" s="172">
        <v>48107.071584000005</v>
      </c>
      <c r="T26" s="172">
        <v>49300.911791999999</v>
      </c>
      <c r="U26" s="172">
        <v>50987.075832000002</v>
      </c>
      <c r="V26" s="172">
        <v>52115.994215999999</v>
      </c>
      <c r="W26" s="172">
        <v>53280.980280000003</v>
      </c>
      <c r="X26" s="172">
        <v>54739.917936000005</v>
      </c>
      <c r="Y26" s="172">
        <v>56135.737152000002</v>
      </c>
    </row>
    <row r="28" spans="2:25" ht="15.75" x14ac:dyDescent="0.25">
      <c r="B28" s="171" t="s">
        <v>76</v>
      </c>
      <c r="C28" s="242">
        <f>(C25+C26)/2</f>
        <v>18437.798016000001</v>
      </c>
      <c r="D28" s="242">
        <f t="shared" ref="D28:Y28" si="1">(D25+D26)/2</f>
        <v>19921.081356000002</v>
      </c>
      <c r="E28" s="242">
        <f t="shared" si="1"/>
        <v>21518.879580000001</v>
      </c>
      <c r="F28" s="242">
        <f t="shared" si="1"/>
        <v>22508.937396000001</v>
      </c>
      <c r="G28" s="242">
        <f t="shared" si="1"/>
        <v>24493.561487999999</v>
      </c>
      <c r="H28" s="242">
        <f t="shared" si="1"/>
        <v>26534.090484000004</v>
      </c>
      <c r="I28" s="242">
        <f t="shared" si="1"/>
        <v>28145.414088000005</v>
      </c>
      <c r="J28" s="242">
        <f t="shared" si="1"/>
        <v>29709.849708000002</v>
      </c>
      <c r="K28" s="242">
        <f t="shared" si="1"/>
        <v>31479.871103999998</v>
      </c>
      <c r="L28" s="242">
        <f t="shared" si="1"/>
        <v>33199.397748000003</v>
      </c>
      <c r="M28" s="242">
        <f t="shared" si="1"/>
        <v>34447.339476000008</v>
      </c>
      <c r="N28" s="242">
        <f t="shared" si="1"/>
        <v>35739.464112000009</v>
      </c>
      <c r="O28" s="242">
        <f t="shared" si="1"/>
        <v>37108.232567999999</v>
      </c>
      <c r="P28" s="242">
        <f t="shared" si="1"/>
        <v>38486.919636000006</v>
      </c>
      <c r="Q28" s="242">
        <f t="shared" si="1"/>
        <v>39472.468992000002</v>
      </c>
      <c r="R28" s="242">
        <f t="shared" si="1"/>
        <v>40585.156920000009</v>
      </c>
      <c r="S28" s="242">
        <f t="shared" si="1"/>
        <v>42180.250068000008</v>
      </c>
      <c r="T28" s="242">
        <f t="shared" si="1"/>
        <v>43293.839688000007</v>
      </c>
      <c r="U28" s="242">
        <f t="shared" si="1"/>
        <v>44599.489704000007</v>
      </c>
      <c r="V28" s="242">
        <f t="shared" si="1"/>
        <v>45522.822312000004</v>
      </c>
      <c r="W28" s="242">
        <f t="shared" si="1"/>
        <v>46481.320908000009</v>
      </c>
      <c r="X28" s="242">
        <f t="shared" si="1"/>
        <v>47870.828280000002</v>
      </c>
      <c r="Y28" s="242">
        <f t="shared" si="1"/>
        <v>49335.176088000007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31F5-999D-4555-8FBB-4E7A9C6164C5}">
  <sheetPr codeName="List2"/>
  <dimension ref="B2:Y27"/>
  <sheetViews>
    <sheetView zoomScale="85" zoomScaleNormal="85" workbookViewId="0">
      <selection activeCell="I34" sqref="I34"/>
    </sheetView>
  </sheetViews>
  <sheetFormatPr defaultRowHeight="15" x14ac:dyDescent="0.25"/>
  <cols>
    <col min="2" max="2" width="12.28515625" customWidth="1"/>
    <col min="3" max="25" width="15" bestFit="1" customWidth="1"/>
  </cols>
  <sheetData>
    <row r="2" spans="2:25" ht="27" customHeight="1" x14ac:dyDescent="0.4">
      <c r="B2" s="170" t="s">
        <v>50</v>
      </c>
      <c r="C2" s="170">
        <v>800</v>
      </c>
      <c r="D2" s="170">
        <v>900</v>
      </c>
      <c r="E2" s="170">
        <v>1000</v>
      </c>
      <c r="F2" s="170">
        <v>1100</v>
      </c>
      <c r="G2" s="170">
        <v>1200</v>
      </c>
      <c r="H2" s="170">
        <v>1300</v>
      </c>
      <c r="I2" s="170">
        <v>1400</v>
      </c>
      <c r="J2" s="170">
        <v>1500</v>
      </c>
      <c r="K2" s="170">
        <v>1600</v>
      </c>
      <c r="L2" s="170">
        <v>1700</v>
      </c>
      <c r="M2" s="170">
        <v>1800</v>
      </c>
      <c r="N2" s="170">
        <v>1900</v>
      </c>
      <c r="O2" s="170">
        <v>2000</v>
      </c>
      <c r="P2" s="170">
        <v>2100</v>
      </c>
      <c r="Q2" s="170">
        <v>2200</v>
      </c>
      <c r="R2" s="170">
        <v>2300</v>
      </c>
      <c r="S2" s="170">
        <v>2400</v>
      </c>
      <c r="T2" s="170">
        <v>2500</v>
      </c>
      <c r="U2" s="170">
        <v>2600</v>
      </c>
      <c r="V2" s="170">
        <v>2700</v>
      </c>
      <c r="W2" s="170">
        <v>2800</v>
      </c>
      <c r="X2" s="170">
        <v>2900</v>
      </c>
      <c r="Y2" s="170">
        <v>3000</v>
      </c>
    </row>
    <row r="3" spans="2:25" ht="24" customHeight="1" x14ac:dyDescent="0.25">
      <c r="B3" s="171" t="s">
        <v>38</v>
      </c>
      <c r="C3" s="172">
        <v>11689.535088000002</v>
      </c>
      <c r="D3" s="172">
        <v>12942.886968000004</v>
      </c>
      <c r="E3" s="172">
        <v>13745.392848000001</v>
      </c>
      <c r="F3" s="172">
        <v>13979.832768000002</v>
      </c>
      <c r="G3" s="172">
        <v>15480.248256000004</v>
      </c>
      <c r="H3" s="172">
        <v>16443.255312000001</v>
      </c>
      <c r="I3" s="172">
        <v>17117.720928000002</v>
      </c>
      <c r="J3" s="172">
        <v>17792.186544000004</v>
      </c>
      <c r="K3" s="172">
        <v>18857.986487999999</v>
      </c>
      <c r="L3" s="172">
        <v>19703.773584000002</v>
      </c>
      <c r="M3" s="172">
        <v>20372.829048</v>
      </c>
      <c r="N3" s="172">
        <v>21077.952192000004</v>
      </c>
      <c r="O3" s="172">
        <v>22033.745712</v>
      </c>
      <c r="P3" s="172">
        <v>23027.410296000005</v>
      </c>
      <c r="Q3" s="172">
        <v>23725.319904</v>
      </c>
      <c r="R3" s="172">
        <v>24596.354376000003</v>
      </c>
      <c r="S3" s="172">
        <v>25642.317096000006</v>
      </c>
      <c r="T3" s="172">
        <v>26617.947840000004</v>
      </c>
      <c r="U3" s="172">
        <v>27427.667256000008</v>
      </c>
      <c r="V3" s="172">
        <v>28208.532528</v>
      </c>
      <c r="W3" s="172">
        <v>28904.638752000006</v>
      </c>
      <c r="X3" s="172">
        <v>29865.842424000002</v>
      </c>
      <c r="Y3" s="172">
        <v>31075.913088000005</v>
      </c>
    </row>
    <row r="4" spans="2:25" ht="24" customHeight="1" x14ac:dyDescent="0.25">
      <c r="B4" s="171" t="s">
        <v>51</v>
      </c>
      <c r="C4" s="172">
        <v>15831.908136000002</v>
      </c>
      <c r="D4" s="172">
        <v>16901.314848000002</v>
      </c>
      <c r="E4" s="172">
        <v>18055.480608000002</v>
      </c>
      <c r="F4" s="172">
        <v>19141.117775999999</v>
      </c>
      <c r="G4" s="172">
        <v>20553.167448000004</v>
      </c>
      <c r="H4" s="172">
        <v>21968.823888000003</v>
      </c>
      <c r="I4" s="172">
        <v>23025.606912000003</v>
      </c>
      <c r="J4" s="172">
        <v>24127.474536000005</v>
      </c>
      <c r="K4" s="172">
        <v>25514.276832</v>
      </c>
      <c r="L4" s="172">
        <v>26951.57388</v>
      </c>
      <c r="M4" s="172">
        <v>28010.160288000003</v>
      </c>
      <c r="N4" s="172">
        <v>29162.522664000004</v>
      </c>
      <c r="O4" s="172">
        <v>30269.800440000003</v>
      </c>
      <c r="P4" s="172">
        <v>31775.626079999995</v>
      </c>
      <c r="Q4" s="172">
        <v>32861.263248000003</v>
      </c>
      <c r="R4" s="172">
        <v>34022.642544000002</v>
      </c>
      <c r="S4" s="172">
        <v>35506.827576000003</v>
      </c>
      <c r="T4" s="172">
        <v>36671.81364</v>
      </c>
      <c r="U4" s="172">
        <v>38094.683616000002</v>
      </c>
      <c r="V4" s="172">
        <v>39194.747856000002</v>
      </c>
      <c r="W4" s="172">
        <v>40251.530880000006</v>
      </c>
      <c r="X4" s="172">
        <v>41389.466183999997</v>
      </c>
      <c r="Y4" s="172">
        <v>42682.492512000004</v>
      </c>
    </row>
    <row r="5" spans="2:25" ht="24" customHeight="1" x14ac:dyDescent="0.25">
      <c r="B5" s="171" t="s">
        <v>52</v>
      </c>
      <c r="C5" s="172">
        <v>18060.890760000002</v>
      </c>
      <c r="D5" s="172">
        <v>19332.276480000004</v>
      </c>
      <c r="E5" s="172">
        <v>20724.488927999999</v>
      </c>
      <c r="F5" s="172">
        <v>21855.210696000006</v>
      </c>
      <c r="G5" s="172">
        <v>23590.066104000001</v>
      </c>
      <c r="H5" s="172">
        <v>25234.752312000004</v>
      </c>
      <c r="I5" s="172">
        <v>26544.009096000005</v>
      </c>
      <c r="J5" s="172">
        <v>27919.991088000006</v>
      </c>
      <c r="K5" s="172">
        <v>29465.491176000003</v>
      </c>
      <c r="L5" s="172">
        <v>31084.930008000003</v>
      </c>
      <c r="M5" s="172">
        <v>32354.512344000006</v>
      </c>
      <c r="N5" s="172">
        <v>33685.409736000009</v>
      </c>
      <c r="O5" s="172">
        <v>35180.415072000003</v>
      </c>
      <c r="P5" s="172">
        <v>36871.989264000003</v>
      </c>
      <c r="Q5" s="172">
        <v>38183.049432000007</v>
      </c>
      <c r="R5" s="172">
        <v>39598.705872000006</v>
      </c>
      <c r="S5" s="172">
        <v>41286.673296000008</v>
      </c>
      <c r="T5" s="172">
        <v>42680.689127999998</v>
      </c>
      <c r="U5" s="172">
        <v>44345.212560000007</v>
      </c>
      <c r="V5" s="172">
        <v>45659.879496000001</v>
      </c>
      <c r="W5" s="172">
        <v>46954.709208</v>
      </c>
      <c r="X5" s="172">
        <v>48281.999832000001</v>
      </c>
      <c r="Y5" s="172">
        <v>49708.476576000008</v>
      </c>
    </row>
    <row r="6" spans="2:25" ht="24" customHeight="1" x14ac:dyDescent="0.25">
      <c r="B6" s="171" t="s">
        <v>44</v>
      </c>
      <c r="C6" s="172">
        <v>11288.282148000002</v>
      </c>
      <c r="D6" s="172">
        <v>11906.662521600003</v>
      </c>
      <c r="E6" s="172">
        <v>12701.954865600002</v>
      </c>
      <c r="F6" s="172">
        <v>13378.764880800001</v>
      </c>
      <c r="G6" s="172">
        <v>14404.529700000001</v>
      </c>
      <c r="H6" s="172">
        <v>15436.786701600002</v>
      </c>
      <c r="I6" s="172">
        <v>16105.481488800006</v>
      </c>
      <c r="J6" s="172">
        <v>16754.699728800006</v>
      </c>
      <c r="K6" s="172">
        <v>17863.2398736</v>
      </c>
      <c r="L6" s="172">
        <v>18686.123992800007</v>
      </c>
      <c r="M6" s="172">
        <v>19349.949643200009</v>
      </c>
      <c r="N6" s="172">
        <v>20044.613160000004</v>
      </c>
      <c r="O6" s="172">
        <v>20904.827328000003</v>
      </c>
      <c r="P6" s="172">
        <v>21860.801186400004</v>
      </c>
      <c r="Q6" s="172">
        <v>22544.103384000002</v>
      </c>
      <c r="R6" s="172">
        <v>23383.217959200007</v>
      </c>
      <c r="S6" s="172">
        <v>24383.0140488</v>
      </c>
      <c r="T6" s="172">
        <v>25313.019177599999</v>
      </c>
      <c r="U6" s="172">
        <v>26145.641570400003</v>
      </c>
      <c r="V6" s="172">
        <v>26791.613719200006</v>
      </c>
      <c r="W6" s="172">
        <v>27468.423734400007</v>
      </c>
      <c r="X6" s="172">
        <v>28380.5753616</v>
      </c>
      <c r="Y6" s="172">
        <v>29760.164121600003</v>
      </c>
    </row>
    <row r="7" spans="2:25" ht="24" customHeight="1" x14ac:dyDescent="0.25">
      <c r="B7" s="171" t="s">
        <v>73</v>
      </c>
      <c r="C7" s="172">
        <v>13321.958284800003</v>
      </c>
      <c r="D7" s="172">
        <v>14189.476158000003</v>
      </c>
      <c r="E7" s="172">
        <v>15160.057426800002</v>
      </c>
      <c r="F7" s="172">
        <v>16051.109461200003</v>
      </c>
      <c r="G7" s="172">
        <v>17252.974728000001</v>
      </c>
      <c r="H7" s="172">
        <v>18505.154408400005</v>
      </c>
      <c r="I7" s="172">
        <v>19371.049236000006</v>
      </c>
      <c r="J7" s="172">
        <v>20253.174519600005</v>
      </c>
      <c r="K7" s="172">
        <v>21521.584655999999</v>
      </c>
      <c r="L7" s="172">
        <v>22634.182414800005</v>
      </c>
      <c r="M7" s="172">
        <v>23497.642674000006</v>
      </c>
      <c r="N7" s="172">
        <v>24381.391003200006</v>
      </c>
      <c r="O7" s="172">
        <v>25379.564047200001</v>
      </c>
      <c r="P7" s="172">
        <v>26620.382408400008</v>
      </c>
      <c r="Q7" s="172">
        <v>27507.376828800003</v>
      </c>
      <c r="R7" s="172">
        <v>28508.795964000012</v>
      </c>
      <c r="S7" s="172">
        <v>29717.153413200009</v>
      </c>
      <c r="T7" s="172">
        <v>30719.384071199998</v>
      </c>
      <c r="U7" s="172">
        <v>31894.469085600005</v>
      </c>
      <c r="V7" s="172">
        <v>32725.468432800008</v>
      </c>
      <c r="W7" s="172">
        <v>33588.117169200006</v>
      </c>
      <c r="X7" s="172">
        <v>34562.756052000004</v>
      </c>
      <c r="Y7" s="172">
        <v>35880.669079200001</v>
      </c>
    </row>
    <row r="8" spans="2:25" ht="24" customHeight="1" x14ac:dyDescent="0.25">
      <c r="B8" s="171" t="s">
        <v>46</v>
      </c>
      <c r="C8" s="172">
        <v>15355.634421600005</v>
      </c>
      <c r="D8" s="172">
        <v>16472.289794400003</v>
      </c>
      <c r="E8" s="172">
        <v>17618.159987999999</v>
      </c>
      <c r="F8" s="172">
        <v>18723.454041600005</v>
      </c>
      <c r="G8" s="172">
        <v>20101.419756000003</v>
      </c>
      <c r="H8" s="172">
        <v>21573.522115200005</v>
      </c>
      <c r="I8" s="172">
        <v>22636.616983200009</v>
      </c>
      <c r="J8" s="172">
        <v>23751.649310400007</v>
      </c>
      <c r="K8" s="172">
        <v>25179.929438400002</v>
      </c>
      <c r="L8" s="172">
        <v>26582.240836800003</v>
      </c>
      <c r="M8" s="172">
        <v>27645.335704800003</v>
      </c>
      <c r="N8" s="172">
        <v>28718.168846400004</v>
      </c>
      <c r="O8" s="172">
        <v>29854.300766400003</v>
      </c>
      <c r="P8" s="172">
        <v>31379.963630400012</v>
      </c>
      <c r="Q8" s="172">
        <v>32470.650273600004</v>
      </c>
      <c r="R8" s="172">
        <v>33634.373968800013</v>
      </c>
      <c r="S8" s="172">
        <v>35051.292777600014</v>
      </c>
      <c r="T8" s="172">
        <v>36125.748964799997</v>
      </c>
      <c r="U8" s="172">
        <v>37643.296600800008</v>
      </c>
      <c r="V8" s="172">
        <v>38659.323146400013</v>
      </c>
      <c r="W8" s="172">
        <v>39707.810603999998</v>
      </c>
      <c r="X8" s="172">
        <v>40744.936742400008</v>
      </c>
      <c r="Y8" s="172">
        <v>42001.174036800003</v>
      </c>
    </row>
    <row r="9" spans="2:25" ht="24" customHeight="1" x14ac:dyDescent="0.25">
      <c r="B9" s="171" t="s">
        <v>48</v>
      </c>
      <c r="C9" s="172">
        <v>17592.191258400002</v>
      </c>
      <c r="D9" s="172">
        <v>18871.151191200002</v>
      </c>
      <c r="E9" s="172">
        <v>20229.640358400004</v>
      </c>
      <c r="F9" s="172">
        <v>21286.243043999999</v>
      </c>
      <c r="G9" s="172">
        <v>22988.817878400008</v>
      </c>
      <c r="H9" s="172">
        <v>24658.931800799997</v>
      </c>
      <c r="I9" s="172">
        <v>25952.499144000005</v>
      </c>
      <c r="J9" s="172">
        <v>27330.464858399999</v>
      </c>
      <c r="K9" s="172">
        <v>28757.121940800007</v>
      </c>
      <c r="L9" s="172">
        <v>30393.151905600003</v>
      </c>
      <c r="M9" s="172">
        <v>31638.027880800008</v>
      </c>
      <c r="N9" s="172">
        <v>32949.448725600007</v>
      </c>
      <c r="O9" s="172">
        <v>34392.336264000005</v>
      </c>
      <c r="P9" s="172">
        <v>36059.20409520001</v>
      </c>
      <c r="Q9" s="172">
        <v>37343.033164799999</v>
      </c>
      <c r="R9" s="172">
        <v>38690.161012800003</v>
      </c>
      <c r="S9" s="172">
        <v>40326.190977600003</v>
      </c>
      <c r="T9" s="172">
        <v>41598.658728000002</v>
      </c>
      <c r="U9" s="172">
        <v>43332.071428800016</v>
      </c>
      <c r="V9" s="172">
        <v>44528.256036000006</v>
      </c>
      <c r="W9" s="172">
        <v>45789.362467200008</v>
      </c>
      <c r="X9" s="172">
        <v>46974.1857552</v>
      </c>
      <c r="Y9" s="172">
        <v>48405.711974400008</v>
      </c>
    </row>
    <row r="10" spans="2:25" ht="24" customHeight="1" x14ac:dyDescent="0.25">
      <c r="B10" s="171" t="s">
        <v>45</v>
      </c>
      <c r="C10" s="172">
        <v>12542.535720000003</v>
      </c>
      <c r="D10" s="172">
        <v>13229.625024000001</v>
      </c>
      <c r="E10" s="172">
        <v>14113.283184</v>
      </c>
      <c r="F10" s="172">
        <v>14865.294312000002</v>
      </c>
      <c r="G10" s="172">
        <v>16005.033000000003</v>
      </c>
      <c r="H10" s="172">
        <v>17151.985224000004</v>
      </c>
      <c r="I10" s="172">
        <v>17894.979432000004</v>
      </c>
      <c r="J10" s="172">
        <v>18616.333032000002</v>
      </c>
      <c r="K10" s="172">
        <v>19848.044304000003</v>
      </c>
      <c r="L10" s="172">
        <v>20762.359991999998</v>
      </c>
      <c r="M10" s="172">
        <v>21499.944048000005</v>
      </c>
      <c r="N10" s="172">
        <v>22271.792400000006</v>
      </c>
      <c r="O10" s="172">
        <v>23227.585920000005</v>
      </c>
      <c r="P10" s="172">
        <v>24289.779096000002</v>
      </c>
      <c r="Q10" s="172">
        <v>25049.003760000007</v>
      </c>
      <c r="R10" s="172">
        <v>25981.353288000002</v>
      </c>
      <c r="S10" s="172">
        <v>27092.23783200001</v>
      </c>
      <c r="T10" s="172">
        <v>28125.576864000006</v>
      </c>
      <c r="U10" s="172">
        <v>29050.712856000002</v>
      </c>
      <c r="V10" s="172">
        <v>29768.459688000006</v>
      </c>
      <c r="W10" s="172">
        <v>30520.470816000001</v>
      </c>
      <c r="X10" s="172">
        <v>31533.972624000002</v>
      </c>
      <c r="Y10" s="172">
        <v>33066.849024000003</v>
      </c>
    </row>
    <row r="11" spans="2:25" ht="24" customHeight="1" x14ac:dyDescent="0.25">
      <c r="B11" s="171" t="s">
        <v>74</v>
      </c>
      <c r="C11" s="172">
        <v>14802.175872000002</v>
      </c>
      <c r="D11" s="172">
        <v>15766.084620000003</v>
      </c>
      <c r="E11" s="172">
        <v>16844.508252</v>
      </c>
      <c r="F11" s="172">
        <v>17834.566068</v>
      </c>
      <c r="G11" s="172">
        <v>19169.971920000004</v>
      </c>
      <c r="H11" s="172">
        <v>20561.282676000003</v>
      </c>
      <c r="I11" s="172">
        <v>21523.388040000002</v>
      </c>
      <c r="J11" s="172">
        <v>22503.527244000004</v>
      </c>
      <c r="K11" s="172">
        <v>23912.87184</v>
      </c>
      <c r="L11" s="172">
        <v>25149.091572000001</v>
      </c>
      <c r="M11" s="172">
        <v>26108.491860000006</v>
      </c>
      <c r="N11" s="172">
        <v>27090.434448000007</v>
      </c>
      <c r="O11" s="172">
        <v>28199.515608000005</v>
      </c>
      <c r="P11" s="172">
        <v>29578.202676000001</v>
      </c>
      <c r="Q11" s="172">
        <v>30563.752032000004</v>
      </c>
      <c r="R11" s="172">
        <v>31676.439960000003</v>
      </c>
      <c r="S11" s="172">
        <v>33019.05934800001</v>
      </c>
      <c r="T11" s="172">
        <v>34132.648968000009</v>
      </c>
      <c r="U11" s="172">
        <v>35438.298984000008</v>
      </c>
      <c r="V11" s="172">
        <v>36361.631592000005</v>
      </c>
      <c r="W11" s="172">
        <v>37320.13018800001</v>
      </c>
      <c r="X11" s="172">
        <v>38403.062279999998</v>
      </c>
      <c r="Y11" s="172">
        <v>39867.410088000004</v>
      </c>
    </row>
    <row r="12" spans="2:25" ht="24" customHeight="1" x14ac:dyDescent="0.25">
      <c r="B12" s="171" t="s">
        <v>47</v>
      </c>
      <c r="C12" s="172">
        <v>17061.816024</v>
      </c>
      <c r="D12" s="172">
        <v>18302.544216000006</v>
      </c>
      <c r="E12" s="172">
        <v>19575.733320000003</v>
      </c>
      <c r="F12" s="172">
        <v>20803.837823999998</v>
      </c>
      <c r="G12" s="172">
        <v>22334.91084</v>
      </c>
      <c r="H12" s="172">
        <v>23970.580127999998</v>
      </c>
      <c r="I12" s="172">
        <v>25151.796648</v>
      </c>
      <c r="J12" s="172">
        <v>26390.721456000003</v>
      </c>
      <c r="K12" s="172">
        <v>27977.699376</v>
      </c>
      <c r="L12" s="172">
        <v>29535.823152000004</v>
      </c>
      <c r="M12" s="172">
        <v>30717.039672000006</v>
      </c>
      <c r="N12" s="172">
        <v>31909.076496000005</v>
      </c>
      <c r="O12" s="172">
        <v>33171.445296000005</v>
      </c>
      <c r="P12" s="172">
        <v>34866.626256000003</v>
      </c>
      <c r="Q12" s="172">
        <v>36078.500304000001</v>
      </c>
      <c r="R12" s="172">
        <v>37371.526632000008</v>
      </c>
      <c r="S12" s="172">
        <v>38945.880864000006</v>
      </c>
      <c r="T12" s="172">
        <v>40139.721072000008</v>
      </c>
      <c r="U12" s="172">
        <v>41825.885112000011</v>
      </c>
      <c r="V12" s="172">
        <v>42954.803496</v>
      </c>
      <c r="W12" s="172">
        <v>44119.789560000012</v>
      </c>
      <c r="X12" s="172">
        <v>45272.151936000002</v>
      </c>
      <c r="Y12" s="172">
        <v>46667.971151999998</v>
      </c>
    </row>
    <row r="13" spans="2:25" ht="24" customHeight="1" x14ac:dyDescent="0.25">
      <c r="B13" s="171" t="s">
        <v>49</v>
      </c>
      <c r="C13" s="172">
        <v>19546.879176000006</v>
      </c>
      <c r="D13" s="172">
        <v>20967.945768000001</v>
      </c>
      <c r="E13" s="172">
        <v>22477.378176000002</v>
      </c>
      <c r="F13" s="172">
        <v>23651.381160000004</v>
      </c>
      <c r="G13" s="172">
        <v>25543.130976</v>
      </c>
      <c r="H13" s="172">
        <v>27398.813112000007</v>
      </c>
      <c r="I13" s="172">
        <v>28836.11016</v>
      </c>
      <c r="J13" s="172">
        <v>30367.183176000002</v>
      </c>
      <c r="K13" s="172">
        <v>31952.357712000005</v>
      </c>
      <c r="L13" s="172">
        <v>33770.168784000009</v>
      </c>
      <c r="M13" s="172">
        <v>35153.364312000005</v>
      </c>
      <c r="N13" s="172">
        <v>36610.498584000008</v>
      </c>
      <c r="O13" s="172">
        <v>38213.70696000001</v>
      </c>
      <c r="P13" s="172">
        <v>40065.782328000008</v>
      </c>
      <c r="Q13" s="172">
        <v>41492.259072000001</v>
      </c>
      <c r="R13" s="172">
        <v>42989.067792000009</v>
      </c>
      <c r="S13" s="172">
        <v>44806.878864000006</v>
      </c>
      <c r="T13" s="172">
        <v>46220.731920000013</v>
      </c>
      <c r="U13" s="172">
        <v>48146.74603200001</v>
      </c>
      <c r="V13" s="172">
        <v>49475.84004000001</v>
      </c>
      <c r="W13" s="172">
        <v>50877.069407999996</v>
      </c>
      <c r="X13" s="172">
        <v>52193.539728000011</v>
      </c>
      <c r="Y13" s="172">
        <v>53784.124416000006</v>
      </c>
    </row>
    <row r="17" spans="2:25" ht="27" customHeight="1" x14ac:dyDescent="0.25"/>
    <row r="18" spans="2:25" ht="24" customHeight="1" x14ac:dyDescent="0.25">
      <c r="B18" s="171" t="s">
        <v>44</v>
      </c>
      <c r="C18" s="172">
        <v>11288.282148000002</v>
      </c>
      <c r="D18" s="172">
        <v>11906.662521600003</v>
      </c>
      <c r="E18" s="172">
        <v>12701.954865600002</v>
      </c>
      <c r="F18" s="172">
        <v>13378.764880800001</v>
      </c>
      <c r="G18" s="172">
        <v>14404.529700000001</v>
      </c>
      <c r="H18" s="172">
        <v>15436.786701600002</v>
      </c>
      <c r="I18" s="172">
        <v>16105.481488800006</v>
      </c>
      <c r="J18" s="172">
        <v>16754.699728800006</v>
      </c>
      <c r="K18" s="172">
        <v>17863.2398736</v>
      </c>
      <c r="L18" s="172">
        <v>18686.123992800007</v>
      </c>
      <c r="M18" s="172">
        <v>19349.949643200009</v>
      </c>
      <c r="N18" s="172">
        <v>20044.613160000004</v>
      </c>
      <c r="O18" s="172">
        <v>20904.827328000003</v>
      </c>
      <c r="P18" s="172">
        <v>21860.801186400004</v>
      </c>
      <c r="Q18" s="172">
        <v>22544.103384000002</v>
      </c>
      <c r="R18" s="172">
        <v>23383.217959200007</v>
      </c>
      <c r="S18" s="172">
        <v>24383.0140488</v>
      </c>
      <c r="T18" s="172">
        <v>25313.019177599999</v>
      </c>
      <c r="U18" s="172">
        <v>26145.641570400003</v>
      </c>
      <c r="V18" s="172">
        <v>26791.613719200006</v>
      </c>
      <c r="W18" s="172">
        <v>27468.423734400007</v>
      </c>
      <c r="X18" s="172">
        <v>28380.5753616</v>
      </c>
      <c r="Y18" s="172">
        <v>29760.164121600003</v>
      </c>
    </row>
    <row r="19" spans="2:25" ht="24" customHeight="1" x14ac:dyDescent="0.25">
      <c r="B19" s="171" t="s">
        <v>46</v>
      </c>
      <c r="C19" s="172">
        <v>15355.634421600005</v>
      </c>
      <c r="D19" s="172">
        <v>16472.289794400003</v>
      </c>
      <c r="E19" s="172">
        <v>17618.159987999999</v>
      </c>
      <c r="F19" s="172">
        <v>18723.454041600005</v>
      </c>
      <c r="G19" s="172">
        <v>20101.419756000003</v>
      </c>
      <c r="H19" s="172">
        <v>21573.522115200005</v>
      </c>
      <c r="I19" s="172">
        <v>22636.616983200009</v>
      </c>
      <c r="J19" s="172">
        <v>23751.649310400007</v>
      </c>
      <c r="K19" s="172">
        <v>25179.929438400002</v>
      </c>
      <c r="L19" s="172">
        <v>26582.240836800003</v>
      </c>
      <c r="M19" s="172">
        <v>27645.335704800003</v>
      </c>
      <c r="N19" s="172">
        <v>28718.168846400004</v>
      </c>
      <c r="O19" s="172">
        <v>29854.300766400003</v>
      </c>
      <c r="P19" s="172">
        <v>31379.963630400012</v>
      </c>
      <c r="Q19" s="172">
        <v>32470.650273600004</v>
      </c>
      <c r="R19" s="172">
        <v>33634.373968800013</v>
      </c>
      <c r="S19" s="172">
        <v>35051.292777600014</v>
      </c>
      <c r="T19" s="172">
        <v>36125.748964799997</v>
      </c>
      <c r="U19" s="172">
        <v>37643.296600800008</v>
      </c>
      <c r="V19" s="172">
        <v>38659.323146400013</v>
      </c>
      <c r="W19" s="172">
        <v>39707.810603999998</v>
      </c>
      <c r="X19" s="172">
        <v>40744.936742400008</v>
      </c>
      <c r="Y19" s="172">
        <v>42001.174036800003</v>
      </c>
    </row>
    <row r="21" spans="2:25" ht="15.75" x14ac:dyDescent="0.25">
      <c r="B21" s="171" t="s">
        <v>73</v>
      </c>
      <c r="C21" s="242">
        <f>(C18+C19)/2</f>
        <v>13321.958284800003</v>
      </c>
      <c r="D21" s="242">
        <f t="shared" ref="D21:Y21" si="0">(D18+D19)/2</f>
        <v>14189.476158000003</v>
      </c>
      <c r="E21" s="242">
        <f t="shared" si="0"/>
        <v>15160.057426800002</v>
      </c>
      <c r="F21" s="242">
        <f t="shared" si="0"/>
        <v>16051.109461200003</v>
      </c>
      <c r="G21" s="242">
        <f t="shared" si="0"/>
        <v>17252.974728000001</v>
      </c>
      <c r="H21" s="242">
        <f t="shared" si="0"/>
        <v>18505.154408400005</v>
      </c>
      <c r="I21" s="242">
        <f t="shared" si="0"/>
        <v>19371.049236000006</v>
      </c>
      <c r="J21" s="242">
        <f t="shared" si="0"/>
        <v>20253.174519600005</v>
      </c>
      <c r="K21" s="242">
        <f t="shared" si="0"/>
        <v>21521.584655999999</v>
      </c>
      <c r="L21" s="242">
        <f t="shared" si="0"/>
        <v>22634.182414800005</v>
      </c>
      <c r="M21" s="242">
        <f t="shared" si="0"/>
        <v>23497.642674000006</v>
      </c>
      <c r="N21" s="242">
        <f t="shared" si="0"/>
        <v>24381.391003200006</v>
      </c>
      <c r="O21" s="242">
        <f t="shared" si="0"/>
        <v>25379.564047200001</v>
      </c>
      <c r="P21" s="242">
        <f t="shared" si="0"/>
        <v>26620.382408400008</v>
      </c>
      <c r="Q21" s="242">
        <f t="shared" si="0"/>
        <v>27507.376828800003</v>
      </c>
      <c r="R21" s="242">
        <f t="shared" si="0"/>
        <v>28508.795964000012</v>
      </c>
      <c r="S21" s="242">
        <f t="shared" si="0"/>
        <v>29717.153413200009</v>
      </c>
      <c r="T21" s="242">
        <f t="shared" si="0"/>
        <v>30719.384071199998</v>
      </c>
      <c r="U21" s="242">
        <f t="shared" si="0"/>
        <v>31894.469085600005</v>
      </c>
      <c r="V21" s="242">
        <f t="shared" si="0"/>
        <v>32725.468432800008</v>
      </c>
      <c r="W21" s="242">
        <f t="shared" si="0"/>
        <v>33588.117169200006</v>
      </c>
      <c r="X21" s="242">
        <f t="shared" si="0"/>
        <v>34562.756052000004</v>
      </c>
      <c r="Y21" s="242">
        <f t="shared" si="0"/>
        <v>35880.669079200001</v>
      </c>
    </row>
    <row r="24" spans="2:25" ht="24" customHeight="1" x14ac:dyDescent="0.25">
      <c r="B24" s="171" t="s">
        <v>45</v>
      </c>
      <c r="C24" s="172">
        <v>12542.535720000003</v>
      </c>
      <c r="D24" s="172">
        <v>13229.625024000001</v>
      </c>
      <c r="E24" s="172">
        <v>14113.283184</v>
      </c>
      <c r="F24" s="172">
        <v>14865.294312000002</v>
      </c>
      <c r="G24" s="172">
        <v>16005.033000000003</v>
      </c>
      <c r="H24" s="172">
        <v>17151.985224000004</v>
      </c>
      <c r="I24" s="172">
        <v>17894.979432000004</v>
      </c>
      <c r="J24" s="172">
        <v>18616.333032000002</v>
      </c>
      <c r="K24" s="172">
        <v>19848.044304000003</v>
      </c>
      <c r="L24" s="172">
        <v>20762.359991999998</v>
      </c>
      <c r="M24" s="172">
        <v>21499.944048000005</v>
      </c>
      <c r="N24" s="172">
        <v>22271.792400000006</v>
      </c>
      <c r="O24" s="172">
        <v>23227.585920000005</v>
      </c>
      <c r="P24" s="172">
        <v>24289.779096000002</v>
      </c>
      <c r="Q24" s="172">
        <v>25049.003760000007</v>
      </c>
      <c r="R24" s="172">
        <v>25981.353288000002</v>
      </c>
      <c r="S24" s="172">
        <v>27092.23783200001</v>
      </c>
      <c r="T24" s="172">
        <v>28125.576864000006</v>
      </c>
      <c r="U24" s="172">
        <v>29050.712856000002</v>
      </c>
      <c r="V24" s="172">
        <v>29768.459688000006</v>
      </c>
      <c r="W24" s="172">
        <v>30520.470816000001</v>
      </c>
      <c r="X24" s="172">
        <v>31533.972624000002</v>
      </c>
      <c r="Y24" s="172">
        <v>33066.849024000003</v>
      </c>
    </row>
    <row r="25" spans="2:25" ht="24" customHeight="1" x14ac:dyDescent="0.25">
      <c r="B25" s="171" t="s">
        <v>47</v>
      </c>
      <c r="C25" s="172">
        <v>17061.816024</v>
      </c>
      <c r="D25" s="172">
        <v>18302.544216000006</v>
      </c>
      <c r="E25" s="172">
        <v>19575.733320000003</v>
      </c>
      <c r="F25" s="172">
        <v>20803.837823999998</v>
      </c>
      <c r="G25" s="172">
        <v>22334.91084</v>
      </c>
      <c r="H25" s="172">
        <v>23970.580127999998</v>
      </c>
      <c r="I25" s="172">
        <v>25151.796648</v>
      </c>
      <c r="J25" s="172">
        <v>26390.721456000003</v>
      </c>
      <c r="K25" s="172">
        <v>27977.699376</v>
      </c>
      <c r="L25" s="172">
        <v>29535.823152000004</v>
      </c>
      <c r="M25" s="172">
        <v>30717.039672000006</v>
      </c>
      <c r="N25" s="172">
        <v>31909.076496000005</v>
      </c>
      <c r="O25" s="172">
        <v>33171.445296000005</v>
      </c>
      <c r="P25" s="172">
        <v>34866.626256000003</v>
      </c>
      <c r="Q25" s="172">
        <v>36078.500304000001</v>
      </c>
      <c r="R25" s="172">
        <v>37371.526632000008</v>
      </c>
      <c r="S25" s="172">
        <v>38945.880864000006</v>
      </c>
      <c r="T25" s="172">
        <v>40139.721072000008</v>
      </c>
      <c r="U25" s="172">
        <v>41825.885112000011</v>
      </c>
      <c r="V25" s="172">
        <v>42954.803496</v>
      </c>
      <c r="W25" s="172">
        <v>44119.789560000012</v>
      </c>
      <c r="X25" s="172">
        <v>45272.151936000002</v>
      </c>
      <c r="Y25" s="172">
        <v>46667.971151999998</v>
      </c>
    </row>
    <row r="27" spans="2:25" ht="15.75" x14ac:dyDescent="0.25">
      <c r="B27" s="171" t="s">
        <v>74</v>
      </c>
      <c r="C27" s="242">
        <f>(C24+C25)/2</f>
        <v>14802.175872000002</v>
      </c>
      <c r="D27" s="242">
        <f t="shared" ref="D27:Y27" si="1">(D24+D25)/2</f>
        <v>15766.084620000003</v>
      </c>
      <c r="E27" s="242">
        <f t="shared" si="1"/>
        <v>16844.508252</v>
      </c>
      <c r="F27" s="242">
        <f t="shared" si="1"/>
        <v>17834.566068</v>
      </c>
      <c r="G27" s="242">
        <f t="shared" si="1"/>
        <v>19169.971920000004</v>
      </c>
      <c r="H27" s="242">
        <f t="shared" si="1"/>
        <v>20561.282676000003</v>
      </c>
      <c r="I27" s="242">
        <f t="shared" si="1"/>
        <v>21523.388040000002</v>
      </c>
      <c r="J27" s="242">
        <f t="shared" si="1"/>
        <v>22503.527244000004</v>
      </c>
      <c r="K27" s="242">
        <f t="shared" si="1"/>
        <v>23912.87184</v>
      </c>
      <c r="L27" s="242">
        <f t="shared" si="1"/>
        <v>25149.091572000001</v>
      </c>
      <c r="M27" s="242">
        <f t="shared" si="1"/>
        <v>26108.491860000006</v>
      </c>
      <c r="N27" s="242">
        <f t="shared" si="1"/>
        <v>27090.434448000007</v>
      </c>
      <c r="O27" s="242">
        <f t="shared" si="1"/>
        <v>28199.515608000005</v>
      </c>
      <c r="P27" s="242">
        <f t="shared" si="1"/>
        <v>29578.202676000001</v>
      </c>
      <c r="Q27" s="242">
        <f t="shared" si="1"/>
        <v>30563.752032000004</v>
      </c>
      <c r="R27" s="242">
        <f t="shared" si="1"/>
        <v>31676.439960000003</v>
      </c>
      <c r="S27" s="242">
        <f t="shared" si="1"/>
        <v>33019.05934800001</v>
      </c>
      <c r="T27" s="242">
        <f t="shared" si="1"/>
        <v>34132.648968000009</v>
      </c>
      <c r="U27" s="242">
        <f t="shared" si="1"/>
        <v>35438.298984000008</v>
      </c>
      <c r="V27" s="242">
        <f t="shared" si="1"/>
        <v>36361.631592000005</v>
      </c>
      <c r="W27" s="242">
        <f t="shared" si="1"/>
        <v>37320.13018800001</v>
      </c>
      <c r="X27" s="242">
        <f t="shared" si="1"/>
        <v>38403.062279999998</v>
      </c>
      <c r="Y27" s="242">
        <f t="shared" si="1"/>
        <v>39867.410088000004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1AC4-9B97-479B-BC7D-10CE5D3CE1E5}">
  <sheetPr codeName="List3"/>
  <dimension ref="A1:BX70"/>
  <sheetViews>
    <sheetView showGridLines="0" topLeftCell="A16" zoomScaleNormal="100" workbookViewId="0">
      <selection activeCell="S25" sqref="S25"/>
    </sheetView>
  </sheetViews>
  <sheetFormatPr defaultRowHeight="18" x14ac:dyDescent="0.25"/>
  <cols>
    <col min="1" max="1" width="9.140625" style="82"/>
    <col min="2" max="2" width="6.5703125" style="82" customWidth="1"/>
    <col min="3" max="3" width="8.42578125" style="140" customWidth="1"/>
    <col min="4" max="4" width="6.7109375" style="166" customWidth="1"/>
    <col min="5" max="5" width="9.7109375" style="82" customWidth="1"/>
    <col min="6" max="6" width="1" style="166" customWidth="1"/>
    <col min="7" max="7" width="2.140625" style="82" customWidth="1"/>
    <col min="8" max="8" width="1.42578125" style="166" customWidth="1"/>
    <col min="9" max="9" width="4" style="82" customWidth="1"/>
    <col min="10" max="10" width="13.5703125" style="107" customWidth="1"/>
    <col min="11" max="11" width="6" style="101" customWidth="1"/>
    <col min="12" max="12" width="6.7109375" style="82" customWidth="1"/>
    <col min="13" max="13" width="6.5703125" style="82" customWidth="1"/>
    <col min="14" max="14" width="7.5703125" style="82" customWidth="1"/>
    <col min="15" max="15" width="6.5703125" style="82" customWidth="1"/>
    <col min="16" max="16" width="7" style="82" customWidth="1"/>
    <col min="17" max="17" width="6.85546875" style="82" customWidth="1"/>
    <col min="18" max="18" width="8.28515625" style="82" customWidth="1"/>
    <col min="19" max="21" width="7.5703125" style="82" customWidth="1"/>
    <col min="22" max="22" width="7.28515625" style="82" customWidth="1"/>
    <col min="23" max="23" width="7.85546875" style="114" customWidth="1"/>
    <col min="24" max="24" width="6.42578125" style="82" customWidth="1"/>
    <col min="25" max="25" width="6.5703125" style="82" customWidth="1"/>
    <col min="26" max="26" width="7.140625" style="82" customWidth="1"/>
    <col min="27" max="28" width="8.140625" style="82" customWidth="1"/>
    <col min="29" max="29" width="6.7109375" style="82" customWidth="1"/>
    <col min="30" max="30" width="7.28515625" style="82" customWidth="1"/>
    <col min="31" max="31" width="8" style="82" customWidth="1"/>
    <col min="32" max="32" width="7.5703125" style="82" customWidth="1"/>
    <col min="33" max="33" width="7.28515625" style="82" customWidth="1"/>
    <col min="34" max="34" width="7" style="82" customWidth="1"/>
    <col min="35" max="44" width="9.140625" style="82"/>
    <col min="45" max="47" width="7.7109375" style="82" customWidth="1"/>
    <col min="48" max="67" width="4.85546875" style="82" customWidth="1"/>
    <col min="68" max="257" width="9.140625" style="82"/>
    <col min="258" max="258" width="6.5703125" style="82" customWidth="1"/>
    <col min="259" max="259" width="5.7109375" style="82" customWidth="1"/>
    <col min="260" max="260" width="1.42578125" style="82" customWidth="1"/>
    <col min="261" max="261" width="5.28515625" style="82" customWidth="1"/>
    <col min="262" max="262" width="1" style="82" customWidth="1"/>
    <col min="263" max="263" width="2.140625" style="82" customWidth="1"/>
    <col min="264" max="264" width="1.42578125" style="82" customWidth="1"/>
    <col min="265" max="265" width="4" style="82" customWidth="1"/>
    <col min="266" max="266" width="13.5703125" style="82" customWidth="1"/>
    <col min="267" max="267" width="6" style="82" customWidth="1"/>
    <col min="268" max="268" width="6.7109375" style="82" customWidth="1"/>
    <col min="269" max="269" width="6.5703125" style="82" customWidth="1"/>
    <col min="270" max="270" width="7.5703125" style="82" customWidth="1"/>
    <col min="271" max="271" width="6.5703125" style="82" customWidth="1"/>
    <col min="272" max="272" width="7" style="82" customWidth="1"/>
    <col min="273" max="273" width="6.85546875" style="82" customWidth="1"/>
    <col min="274" max="274" width="8.28515625" style="82" customWidth="1"/>
    <col min="275" max="277" width="7.5703125" style="82" customWidth="1"/>
    <col min="278" max="278" width="7.28515625" style="82" customWidth="1"/>
    <col min="279" max="279" width="7.85546875" style="82" customWidth="1"/>
    <col min="280" max="280" width="6.42578125" style="82" customWidth="1"/>
    <col min="281" max="281" width="6.5703125" style="82" customWidth="1"/>
    <col min="282" max="282" width="7.140625" style="82" customWidth="1"/>
    <col min="283" max="284" width="8.140625" style="82" customWidth="1"/>
    <col min="285" max="285" width="6.7109375" style="82" customWidth="1"/>
    <col min="286" max="286" width="7.28515625" style="82" customWidth="1"/>
    <col min="287" max="287" width="8" style="82" customWidth="1"/>
    <col min="288" max="288" width="7.5703125" style="82" customWidth="1"/>
    <col min="289" max="289" width="7.28515625" style="82" customWidth="1"/>
    <col min="290" max="290" width="7" style="82" customWidth="1"/>
    <col min="291" max="300" width="9.140625" style="82"/>
    <col min="301" max="303" width="7.7109375" style="82" customWidth="1"/>
    <col min="304" max="323" width="4.85546875" style="82" customWidth="1"/>
    <col min="324" max="513" width="9.140625" style="82"/>
    <col min="514" max="514" width="6.5703125" style="82" customWidth="1"/>
    <col min="515" max="515" width="5.7109375" style="82" customWidth="1"/>
    <col min="516" max="516" width="1.42578125" style="82" customWidth="1"/>
    <col min="517" max="517" width="5.28515625" style="82" customWidth="1"/>
    <col min="518" max="518" width="1" style="82" customWidth="1"/>
    <col min="519" max="519" width="2.140625" style="82" customWidth="1"/>
    <col min="520" max="520" width="1.42578125" style="82" customWidth="1"/>
    <col min="521" max="521" width="4" style="82" customWidth="1"/>
    <col min="522" max="522" width="13.5703125" style="82" customWidth="1"/>
    <col min="523" max="523" width="6" style="82" customWidth="1"/>
    <col min="524" max="524" width="6.7109375" style="82" customWidth="1"/>
    <col min="525" max="525" width="6.5703125" style="82" customWidth="1"/>
    <col min="526" max="526" width="7.5703125" style="82" customWidth="1"/>
    <col min="527" max="527" width="6.5703125" style="82" customWidth="1"/>
    <col min="528" max="528" width="7" style="82" customWidth="1"/>
    <col min="529" max="529" width="6.85546875" style="82" customWidth="1"/>
    <col min="530" max="530" width="8.28515625" style="82" customWidth="1"/>
    <col min="531" max="533" width="7.5703125" style="82" customWidth="1"/>
    <col min="534" max="534" width="7.28515625" style="82" customWidth="1"/>
    <col min="535" max="535" width="7.85546875" style="82" customWidth="1"/>
    <col min="536" max="536" width="6.42578125" style="82" customWidth="1"/>
    <col min="537" max="537" width="6.5703125" style="82" customWidth="1"/>
    <col min="538" max="538" width="7.140625" style="82" customWidth="1"/>
    <col min="539" max="540" width="8.140625" style="82" customWidth="1"/>
    <col min="541" max="541" width="6.7109375" style="82" customWidth="1"/>
    <col min="542" max="542" width="7.28515625" style="82" customWidth="1"/>
    <col min="543" max="543" width="8" style="82" customWidth="1"/>
    <col min="544" max="544" width="7.5703125" style="82" customWidth="1"/>
    <col min="545" max="545" width="7.28515625" style="82" customWidth="1"/>
    <col min="546" max="546" width="7" style="82" customWidth="1"/>
    <col min="547" max="556" width="9.140625" style="82"/>
    <col min="557" max="559" width="7.7109375" style="82" customWidth="1"/>
    <col min="560" max="579" width="4.85546875" style="82" customWidth="1"/>
    <col min="580" max="769" width="9.140625" style="82"/>
    <col min="770" max="770" width="6.5703125" style="82" customWidth="1"/>
    <col min="771" max="771" width="5.7109375" style="82" customWidth="1"/>
    <col min="772" max="772" width="1.42578125" style="82" customWidth="1"/>
    <col min="773" max="773" width="5.28515625" style="82" customWidth="1"/>
    <col min="774" max="774" width="1" style="82" customWidth="1"/>
    <col min="775" max="775" width="2.140625" style="82" customWidth="1"/>
    <col min="776" max="776" width="1.42578125" style="82" customWidth="1"/>
    <col min="777" max="777" width="4" style="82" customWidth="1"/>
    <col min="778" max="778" width="13.5703125" style="82" customWidth="1"/>
    <col min="779" max="779" width="6" style="82" customWidth="1"/>
    <col min="780" max="780" width="6.7109375" style="82" customWidth="1"/>
    <col min="781" max="781" width="6.5703125" style="82" customWidth="1"/>
    <col min="782" max="782" width="7.5703125" style="82" customWidth="1"/>
    <col min="783" max="783" width="6.5703125" style="82" customWidth="1"/>
    <col min="784" max="784" width="7" style="82" customWidth="1"/>
    <col min="785" max="785" width="6.85546875" style="82" customWidth="1"/>
    <col min="786" max="786" width="8.28515625" style="82" customWidth="1"/>
    <col min="787" max="789" width="7.5703125" style="82" customWidth="1"/>
    <col min="790" max="790" width="7.28515625" style="82" customWidth="1"/>
    <col min="791" max="791" width="7.85546875" style="82" customWidth="1"/>
    <col min="792" max="792" width="6.42578125" style="82" customWidth="1"/>
    <col min="793" max="793" width="6.5703125" style="82" customWidth="1"/>
    <col min="794" max="794" width="7.140625" style="82" customWidth="1"/>
    <col min="795" max="796" width="8.140625" style="82" customWidth="1"/>
    <col min="797" max="797" width="6.7109375" style="82" customWidth="1"/>
    <col min="798" max="798" width="7.28515625" style="82" customWidth="1"/>
    <col min="799" max="799" width="8" style="82" customWidth="1"/>
    <col min="800" max="800" width="7.5703125" style="82" customWidth="1"/>
    <col min="801" max="801" width="7.28515625" style="82" customWidth="1"/>
    <col min="802" max="802" width="7" style="82" customWidth="1"/>
    <col min="803" max="812" width="9.140625" style="82"/>
    <col min="813" max="815" width="7.7109375" style="82" customWidth="1"/>
    <col min="816" max="835" width="4.85546875" style="82" customWidth="1"/>
    <col min="836" max="1025" width="9.140625" style="82"/>
    <col min="1026" max="1026" width="6.5703125" style="82" customWidth="1"/>
    <col min="1027" max="1027" width="5.7109375" style="82" customWidth="1"/>
    <col min="1028" max="1028" width="1.42578125" style="82" customWidth="1"/>
    <col min="1029" max="1029" width="5.28515625" style="82" customWidth="1"/>
    <col min="1030" max="1030" width="1" style="82" customWidth="1"/>
    <col min="1031" max="1031" width="2.140625" style="82" customWidth="1"/>
    <col min="1032" max="1032" width="1.42578125" style="82" customWidth="1"/>
    <col min="1033" max="1033" width="4" style="82" customWidth="1"/>
    <col min="1034" max="1034" width="13.5703125" style="82" customWidth="1"/>
    <col min="1035" max="1035" width="6" style="82" customWidth="1"/>
    <col min="1036" max="1036" width="6.7109375" style="82" customWidth="1"/>
    <col min="1037" max="1037" width="6.5703125" style="82" customWidth="1"/>
    <col min="1038" max="1038" width="7.5703125" style="82" customWidth="1"/>
    <col min="1039" max="1039" width="6.5703125" style="82" customWidth="1"/>
    <col min="1040" max="1040" width="7" style="82" customWidth="1"/>
    <col min="1041" max="1041" width="6.85546875" style="82" customWidth="1"/>
    <col min="1042" max="1042" width="8.28515625" style="82" customWidth="1"/>
    <col min="1043" max="1045" width="7.5703125" style="82" customWidth="1"/>
    <col min="1046" max="1046" width="7.28515625" style="82" customWidth="1"/>
    <col min="1047" max="1047" width="7.85546875" style="82" customWidth="1"/>
    <col min="1048" max="1048" width="6.42578125" style="82" customWidth="1"/>
    <col min="1049" max="1049" width="6.5703125" style="82" customWidth="1"/>
    <col min="1050" max="1050" width="7.140625" style="82" customWidth="1"/>
    <col min="1051" max="1052" width="8.140625" style="82" customWidth="1"/>
    <col min="1053" max="1053" width="6.7109375" style="82" customWidth="1"/>
    <col min="1054" max="1054" width="7.28515625" style="82" customWidth="1"/>
    <col min="1055" max="1055" width="8" style="82" customWidth="1"/>
    <col min="1056" max="1056" width="7.5703125" style="82" customWidth="1"/>
    <col min="1057" max="1057" width="7.28515625" style="82" customWidth="1"/>
    <col min="1058" max="1058" width="7" style="82" customWidth="1"/>
    <col min="1059" max="1068" width="9.140625" style="82"/>
    <col min="1069" max="1071" width="7.7109375" style="82" customWidth="1"/>
    <col min="1072" max="1091" width="4.85546875" style="82" customWidth="1"/>
    <col min="1092" max="1281" width="9.140625" style="82"/>
    <col min="1282" max="1282" width="6.5703125" style="82" customWidth="1"/>
    <col min="1283" max="1283" width="5.7109375" style="82" customWidth="1"/>
    <col min="1284" max="1284" width="1.42578125" style="82" customWidth="1"/>
    <col min="1285" max="1285" width="5.28515625" style="82" customWidth="1"/>
    <col min="1286" max="1286" width="1" style="82" customWidth="1"/>
    <col min="1287" max="1287" width="2.140625" style="82" customWidth="1"/>
    <col min="1288" max="1288" width="1.42578125" style="82" customWidth="1"/>
    <col min="1289" max="1289" width="4" style="82" customWidth="1"/>
    <col min="1290" max="1290" width="13.5703125" style="82" customWidth="1"/>
    <col min="1291" max="1291" width="6" style="82" customWidth="1"/>
    <col min="1292" max="1292" width="6.7109375" style="82" customWidth="1"/>
    <col min="1293" max="1293" width="6.5703125" style="82" customWidth="1"/>
    <col min="1294" max="1294" width="7.5703125" style="82" customWidth="1"/>
    <col min="1295" max="1295" width="6.5703125" style="82" customWidth="1"/>
    <col min="1296" max="1296" width="7" style="82" customWidth="1"/>
    <col min="1297" max="1297" width="6.85546875" style="82" customWidth="1"/>
    <col min="1298" max="1298" width="8.28515625" style="82" customWidth="1"/>
    <col min="1299" max="1301" width="7.5703125" style="82" customWidth="1"/>
    <col min="1302" max="1302" width="7.28515625" style="82" customWidth="1"/>
    <col min="1303" max="1303" width="7.85546875" style="82" customWidth="1"/>
    <col min="1304" max="1304" width="6.42578125" style="82" customWidth="1"/>
    <col min="1305" max="1305" width="6.5703125" style="82" customWidth="1"/>
    <col min="1306" max="1306" width="7.140625" style="82" customWidth="1"/>
    <col min="1307" max="1308" width="8.140625" style="82" customWidth="1"/>
    <col min="1309" max="1309" width="6.7109375" style="82" customWidth="1"/>
    <col min="1310" max="1310" width="7.28515625" style="82" customWidth="1"/>
    <col min="1311" max="1311" width="8" style="82" customWidth="1"/>
    <col min="1312" max="1312" width="7.5703125" style="82" customWidth="1"/>
    <col min="1313" max="1313" width="7.28515625" style="82" customWidth="1"/>
    <col min="1314" max="1314" width="7" style="82" customWidth="1"/>
    <col min="1315" max="1324" width="9.140625" style="82"/>
    <col min="1325" max="1327" width="7.7109375" style="82" customWidth="1"/>
    <col min="1328" max="1347" width="4.85546875" style="82" customWidth="1"/>
    <col min="1348" max="1537" width="9.140625" style="82"/>
    <col min="1538" max="1538" width="6.5703125" style="82" customWidth="1"/>
    <col min="1539" max="1539" width="5.7109375" style="82" customWidth="1"/>
    <col min="1540" max="1540" width="1.42578125" style="82" customWidth="1"/>
    <col min="1541" max="1541" width="5.28515625" style="82" customWidth="1"/>
    <col min="1542" max="1542" width="1" style="82" customWidth="1"/>
    <col min="1543" max="1543" width="2.140625" style="82" customWidth="1"/>
    <col min="1544" max="1544" width="1.42578125" style="82" customWidth="1"/>
    <col min="1545" max="1545" width="4" style="82" customWidth="1"/>
    <col min="1546" max="1546" width="13.5703125" style="82" customWidth="1"/>
    <col min="1547" max="1547" width="6" style="82" customWidth="1"/>
    <col min="1548" max="1548" width="6.7109375" style="82" customWidth="1"/>
    <col min="1549" max="1549" width="6.5703125" style="82" customWidth="1"/>
    <col min="1550" max="1550" width="7.5703125" style="82" customWidth="1"/>
    <col min="1551" max="1551" width="6.5703125" style="82" customWidth="1"/>
    <col min="1552" max="1552" width="7" style="82" customWidth="1"/>
    <col min="1553" max="1553" width="6.85546875" style="82" customWidth="1"/>
    <col min="1554" max="1554" width="8.28515625" style="82" customWidth="1"/>
    <col min="1555" max="1557" width="7.5703125" style="82" customWidth="1"/>
    <col min="1558" max="1558" width="7.28515625" style="82" customWidth="1"/>
    <col min="1559" max="1559" width="7.85546875" style="82" customWidth="1"/>
    <col min="1560" max="1560" width="6.42578125" style="82" customWidth="1"/>
    <col min="1561" max="1561" width="6.5703125" style="82" customWidth="1"/>
    <col min="1562" max="1562" width="7.140625" style="82" customWidth="1"/>
    <col min="1563" max="1564" width="8.140625" style="82" customWidth="1"/>
    <col min="1565" max="1565" width="6.7109375" style="82" customWidth="1"/>
    <col min="1566" max="1566" width="7.28515625" style="82" customWidth="1"/>
    <col min="1567" max="1567" width="8" style="82" customWidth="1"/>
    <col min="1568" max="1568" width="7.5703125" style="82" customWidth="1"/>
    <col min="1569" max="1569" width="7.28515625" style="82" customWidth="1"/>
    <col min="1570" max="1570" width="7" style="82" customWidth="1"/>
    <col min="1571" max="1580" width="9.140625" style="82"/>
    <col min="1581" max="1583" width="7.7109375" style="82" customWidth="1"/>
    <col min="1584" max="1603" width="4.85546875" style="82" customWidth="1"/>
    <col min="1604" max="1793" width="9.140625" style="82"/>
    <col min="1794" max="1794" width="6.5703125" style="82" customWidth="1"/>
    <col min="1795" max="1795" width="5.7109375" style="82" customWidth="1"/>
    <col min="1796" max="1796" width="1.42578125" style="82" customWidth="1"/>
    <col min="1797" max="1797" width="5.28515625" style="82" customWidth="1"/>
    <col min="1798" max="1798" width="1" style="82" customWidth="1"/>
    <col min="1799" max="1799" width="2.140625" style="82" customWidth="1"/>
    <col min="1800" max="1800" width="1.42578125" style="82" customWidth="1"/>
    <col min="1801" max="1801" width="4" style="82" customWidth="1"/>
    <col min="1802" max="1802" width="13.5703125" style="82" customWidth="1"/>
    <col min="1803" max="1803" width="6" style="82" customWidth="1"/>
    <col min="1804" max="1804" width="6.7109375" style="82" customWidth="1"/>
    <col min="1805" max="1805" width="6.5703125" style="82" customWidth="1"/>
    <col min="1806" max="1806" width="7.5703125" style="82" customWidth="1"/>
    <col min="1807" max="1807" width="6.5703125" style="82" customWidth="1"/>
    <col min="1808" max="1808" width="7" style="82" customWidth="1"/>
    <col min="1809" max="1809" width="6.85546875" style="82" customWidth="1"/>
    <col min="1810" max="1810" width="8.28515625" style="82" customWidth="1"/>
    <col min="1811" max="1813" width="7.5703125" style="82" customWidth="1"/>
    <col min="1814" max="1814" width="7.28515625" style="82" customWidth="1"/>
    <col min="1815" max="1815" width="7.85546875" style="82" customWidth="1"/>
    <col min="1816" max="1816" width="6.42578125" style="82" customWidth="1"/>
    <col min="1817" max="1817" width="6.5703125" style="82" customWidth="1"/>
    <col min="1818" max="1818" width="7.140625" style="82" customWidth="1"/>
    <col min="1819" max="1820" width="8.140625" style="82" customWidth="1"/>
    <col min="1821" max="1821" width="6.7109375" style="82" customWidth="1"/>
    <col min="1822" max="1822" width="7.28515625" style="82" customWidth="1"/>
    <col min="1823" max="1823" width="8" style="82" customWidth="1"/>
    <col min="1824" max="1824" width="7.5703125" style="82" customWidth="1"/>
    <col min="1825" max="1825" width="7.28515625" style="82" customWidth="1"/>
    <col min="1826" max="1826" width="7" style="82" customWidth="1"/>
    <col min="1827" max="1836" width="9.140625" style="82"/>
    <col min="1837" max="1839" width="7.7109375" style="82" customWidth="1"/>
    <col min="1840" max="1859" width="4.85546875" style="82" customWidth="1"/>
    <col min="1860" max="2049" width="9.140625" style="82"/>
    <col min="2050" max="2050" width="6.5703125" style="82" customWidth="1"/>
    <col min="2051" max="2051" width="5.7109375" style="82" customWidth="1"/>
    <col min="2052" max="2052" width="1.42578125" style="82" customWidth="1"/>
    <col min="2053" max="2053" width="5.28515625" style="82" customWidth="1"/>
    <col min="2054" max="2054" width="1" style="82" customWidth="1"/>
    <col min="2055" max="2055" width="2.140625" style="82" customWidth="1"/>
    <col min="2056" max="2056" width="1.42578125" style="82" customWidth="1"/>
    <col min="2057" max="2057" width="4" style="82" customWidth="1"/>
    <col min="2058" max="2058" width="13.5703125" style="82" customWidth="1"/>
    <col min="2059" max="2059" width="6" style="82" customWidth="1"/>
    <col min="2060" max="2060" width="6.7109375" style="82" customWidth="1"/>
    <col min="2061" max="2061" width="6.5703125" style="82" customWidth="1"/>
    <col min="2062" max="2062" width="7.5703125" style="82" customWidth="1"/>
    <col min="2063" max="2063" width="6.5703125" style="82" customWidth="1"/>
    <col min="2064" max="2064" width="7" style="82" customWidth="1"/>
    <col min="2065" max="2065" width="6.85546875" style="82" customWidth="1"/>
    <col min="2066" max="2066" width="8.28515625" style="82" customWidth="1"/>
    <col min="2067" max="2069" width="7.5703125" style="82" customWidth="1"/>
    <col min="2070" max="2070" width="7.28515625" style="82" customWidth="1"/>
    <col min="2071" max="2071" width="7.85546875" style="82" customWidth="1"/>
    <col min="2072" max="2072" width="6.42578125" style="82" customWidth="1"/>
    <col min="2073" max="2073" width="6.5703125" style="82" customWidth="1"/>
    <col min="2074" max="2074" width="7.140625" style="82" customWidth="1"/>
    <col min="2075" max="2076" width="8.140625" style="82" customWidth="1"/>
    <col min="2077" max="2077" width="6.7109375" style="82" customWidth="1"/>
    <col min="2078" max="2078" width="7.28515625" style="82" customWidth="1"/>
    <col min="2079" max="2079" width="8" style="82" customWidth="1"/>
    <col min="2080" max="2080" width="7.5703125" style="82" customWidth="1"/>
    <col min="2081" max="2081" width="7.28515625" style="82" customWidth="1"/>
    <col min="2082" max="2082" width="7" style="82" customWidth="1"/>
    <col min="2083" max="2092" width="9.140625" style="82"/>
    <col min="2093" max="2095" width="7.7109375" style="82" customWidth="1"/>
    <col min="2096" max="2115" width="4.85546875" style="82" customWidth="1"/>
    <col min="2116" max="2305" width="9.140625" style="82"/>
    <col min="2306" max="2306" width="6.5703125" style="82" customWidth="1"/>
    <col min="2307" max="2307" width="5.7109375" style="82" customWidth="1"/>
    <col min="2308" max="2308" width="1.42578125" style="82" customWidth="1"/>
    <col min="2309" max="2309" width="5.28515625" style="82" customWidth="1"/>
    <col min="2310" max="2310" width="1" style="82" customWidth="1"/>
    <col min="2311" max="2311" width="2.140625" style="82" customWidth="1"/>
    <col min="2312" max="2312" width="1.42578125" style="82" customWidth="1"/>
    <col min="2313" max="2313" width="4" style="82" customWidth="1"/>
    <col min="2314" max="2314" width="13.5703125" style="82" customWidth="1"/>
    <col min="2315" max="2315" width="6" style="82" customWidth="1"/>
    <col min="2316" max="2316" width="6.7109375" style="82" customWidth="1"/>
    <col min="2317" max="2317" width="6.5703125" style="82" customWidth="1"/>
    <col min="2318" max="2318" width="7.5703125" style="82" customWidth="1"/>
    <col min="2319" max="2319" width="6.5703125" style="82" customWidth="1"/>
    <col min="2320" max="2320" width="7" style="82" customWidth="1"/>
    <col min="2321" max="2321" width="6.85546875" style="82" customWidth="1"/>
    <col min="2322" max="2322" width="8.28515625" style="82" customWidth="1"/>
    <col min="2323" max="2325" width="7.5703125" style="82" customWidth="1"/>
    <col min="2326" max="2326" width="7.28515625" style="82" customWidth="1"/>
    <col min="2327" max="2327" width="7.85546875" style="82" customWidth="1"/>
    <col min="2328" max="2328" width="6.42578125" style="82" customWidth="1"/>
    <col min="2329" max="2329" width="6.5703125" style="82" customWidth="1"/>
    <col min="2330" max="2330" width="7.140625" style="82" customWidth="1"/>
    <col min="2331" max="2332" width="8.140625" style="82" customWidth="1"/>
    <col min="2333" max="2333" width="6.7109375" style="82" customWidth="1"/>
    <col min="2334" max="2334" width="7.28515625" style="82" customWidth="1"/>
    <col min="2335" max="2335" width="8" style="82" customWidth="1"/>
    <col min="2336" max="2336" width="7.5703125" style="82" customWidth="1"/>
    <col min="2337" max="2337" width="7.28515625" style="82" customWidth="1"/>
    <col min="2338" max="2338" width="7" style="82" customWidth="1"/>
    <col min="2339" max="2348" width="9.140625" style="82"/>
    <col min="2349" max="2351" width="7.7109375" style="82" customWidth="1"/>
    <col min="2352" max="2371" width="4.85546875" style="82" customWidth="1"/>
    <col min="2372" max="2561" width="9.140625" style="82"/>
    <col min="2562" max="2562" width="6.5703125" style="82" customWidth="1"/>
    <col min="2563" max="2563" width="5.7109375" style="82" customWidth="1"/>
    <col min="2564" max="2564" width="1.42578125" style="82" customWidth="1"/>
    <col min="2565" max="2565" width="5.28515625" style="82" customWidth="1"/>
    <col min="2566" max="2566" width="1" style="82" customWidth="1"/>
    <col min="2567" max="2567" width="2.140625" style="82" customWidth="1"/>
    <col min="2568" max="2568" width="1.42578125" style="82" customWidth="1"/>
    <col min="2569" max="2569" width="4" style="82" customWidth="1"/>
    <col min="2570" max="2570" width="13.5703125" style="82" customWidth="1"/>
    <col min="2571" max="2571" width="6" style="82" customWidth="1"/>
    <col min="2572" max="2572" width="6.7109375" style="82" customWidth="1"/>
    <col min="2573" max="2573" width="6.5703125" style="82" customWidth="1"/>
    <col min="2574" max="2574" width="7.5703125" style="82" customWidth="1"/>
    <col min="2575" max="2575" width="6.5703125" style="82" customWidth="1"/>
    <col min="2576" max="2576" width="7" style="82" customWidth="1"/>
    <col min="2577" max="2577" width="6.85546875" style="82" customWidth="1"/>
    <col min="2578" max="2578" width="8.28515625" style="82" customWidth="1"/>
    <col min="2579" max="2581" width="7.5703125" style="82" customWidth="1"/>
    <col min="2582" max="2582" width="7.28515625" style="82" customWidth="1"/>
    <col min="2583" max="2583" width="7.85546875" style="82" customWidth="1"/>
    <col min="2584" max="2584" width="6.42578125" style="82" customWidth="1"/>
    <col min="2585" max="2585" width="6.5703125" style="82" customWidth="1"/>
    <col min="2586" max="2586" width="7.140625" style="82" customWidth="1"/>
    <col min="2587" max="2588" width="8.140625" style="82" customWidth="1"/>
    <col min="2589" max="2589" width="6.7109375" style="82" customWidth="1"/>
    <col min="2590" max="2590" width="7.28515625" style="82" customWidth="1"/>
    <col min="2591" max="2591" width="8" style="82" customWidth="1"/>
    <col min="2592" max="2592" width="7.5703125" style="82" customWidth="1"/>
    <col min="2593" max="2593" width="7.28515625" style="82" customWidth="1"/>
    <col min="2594" max="2594" width="7" style="82" customWidth="1"/>
    <col min="2595" max="2604" width="9.140625" style="82"/>
    <col min="2605" max="2607" width="7.7109375" style="82" customWidth="1"/>
    <col min="2608" max="2627" width="4.85546875" style="82" customWidth="1"/>
    <col min="2628" max="2817" width="9.140625" style="82"/>
    <col min="2818" max="2818" width="6.5703125" style="82" customWidth="1"/>
    <col min="2819" max="2819" width="5.7109375" style="82" customWidth="1"/>
    <col min="2820" max="2820" width="1.42578125" style="82" customWidth="1"/>
    <col min="2821" max="2821" width="5.28515625" style="82" customWidth="1"/>
    <col min="2822" max="2822" width="1" style="82" customWidth="1"/>
    <col min="2823" max="2823" width="2.140625" style="82" customWidth="1"/>
    <col min="2824" max="2824" width="1.42578125" style="82" customWidth="1"/>
    <col min="2825" max="2825" width="4" style="82" customWidth="1"/>
    <col min="2826" max="2826" width="13.5703125" style="82" customWidth="1"/>
    <col min="2827" max="2827" width="6" style="82" customWidth="1"/>
    <col min="2828" max="2828" width="6.7109375" style="82" customWidth="1"/>
    <col min="2829" max="2829" width="6.5703125" style="82" customWidth="1"/>
    <col min="2830" max="2830" width="7.5703125" style="82" customWidth="1"/>
    <col min="2831" max="2831" width="6.5703125" style="82" customWidth="1"/>
    <col min="2832" max="2832" width="7" style="82" customWidth="1"/>
    <col min="2833" max="2833" width="6.85546875" style="82" customWidth="1"/>
    <col min="2834" max="2834" width="8.28515625" style="82" customWidth="1"/>
    <col min="2835" max="2837" width="7.5703125" style="82" customWidth="1"/>
    <col min="2838" max="2838" width="7.28515625" style="82" customWidth="1"/>
    <col min="2839" max="2839" width="7.85546875" style="82" customWidth="1"/>
    <col min="2840" max="2840" width="6.42578125" style="82" customWidth="1"/>
    <col min="2841" max="2841" width="6.5703125" style="82" customWidth="1"/>
    <col min="2842" max="2842" width="7.140625" style="82" customWidth="1"/>
    <col min="2843" max="2844" width="8.140625" style="82" customWidth="1"/>
    <col min="2845" max="2845" width="6.7109375" style="82" customWidth="1"/>
    <col min="2846" max="2846" width="7.28515625" style="82" customWidth="1"/>
    <col min="2847" max="2847" width="8" style="82" customWidth="1"/>
    <col min="2848" max="2848" width="7.5703125" style="82" customWidth="1"/>
    <col min="2849" max="2849" width="7.28515625" style="82" customWidth="1"/>
    <col min="2850" max="2850" width="7" style="82" customWidth="1"/>
    <col min="2851" max="2860" width="9.140625" style="82"/>
    <col min="2861" max="2863" width="7.7109375" style="82" customWidth="1"/>
    <col min="2864" max="2883" width="4.85546875" style="82" customWidth="1"/>
    <col min="2884" max="3073" width="9.140625" style="82"/>
    <col min="3074" max="3074" width="6.5703125" style="82" customWidth="1"/>
    <col min="3075" max="3075" width="5.7109375" style="82" customWidth="1"/>
    <col min="3076" max="3076" width="1.42578125" style="82" customWidth="1"/>
    <col min="3077" max="3077" width="5.28515625" style="82" customWidth="1"/>
    <col min="3078" max="3078" width="1" style="82" customWidth="1"/>
    <col min="3079" max="3079" width="2.140625" style="82" customWidth="1"/>
    <col min="3080" max="3080" width="1.42578125" style="82" customWidth="1"/>
    <col min="3081" max="3081" width="4" style="82" customWidth="1"/>
    <col min="3082" max="3082" width="13.5703125" style="82" customWidth="1"/>
    <col min="3083" max="3083" width="6" style="82" customWidth="1"/>
    <col min="3084" max="3084" width="6.7109375" style="82" customWidth="1"/>
    <col min="3085" max="3085" width="6.5703125" style="82" customWidth="1"/>
    <col min="3086" max="3086" width="7.5703125" style="82" customWidth="1"/>
    <col min="3087" max="3087" width="6.5703125" style="82" customWidth="1"/>
    <col min="3088" max="3088" width="7" style="82" customWidth="1"/>
    <col min="3089" max="3089" width="6.85546875" style="82" customWidth="1"/>
    <col min="3090" max="3090" width="8.28515625" style="82" customWidth="1"/>
    <col min="3091" max="3093" width="7.5703125" style="82" customWidth="1"/>
    <col min="3094" max="3094" width="7.28515625" style="82" customWidth="1"/>
    <col min="3095" max="3095" width="7.85546875" style="82" customWidth="1"/>
    <col min="3096" max="3096" width="6.42578125" style="82" customWidth="1"/>
    <col min="3097" max="3097" width="6.5703125" style="82" customWidth="1"/>
    <col min="3098" max="3098" width="7.140625" style="82" customWidth="1"/>
    <col min="3099" max="3100" width="8.140625" style="82" customWidth="1"/>
    <col min="3101" max="3101" width="6.7109375" style="82" customWidth="1"/>
    <col min="3102" max="3102" width="7.28515625" style="82" customWidth="1"/>
    <col min="3103" max="3103" width="8" style="82" customWidth="1"/>
    <col min="3104" max="3104" width="7.5703125" style="82" customWidth="1"/>
    <col min="3105" max="3105" width="7.28515625" style="82" customWidth="1"/>
    <col min="3106" max="3106" width="7" style="82" customWidth="1"/>
    <col min="3107" max="3116" width="9.140625" style="82"/>
    <col min="3117" max="3119" width="7.7109375" style="82" customWidth="1"/>
    <col min="3120" max="3139" width="4.85546875" style="82" customWidth="1"/>
    <col min="3140" max="3329" width="9.140625" style="82"/>
    <col min="3330" max="3330" width="6.5703125" style="82" customWidth="1"/>
    <col min="3331" max="3331" width="5.7109375" style="82" customWidth="1"/>
    <col min="3332" max="3332" width="1.42578125" style="82" customWidth="1"/>
    <col min="3333" max="3333" width="5.28515625" style="82" customWidth="1"/>
    <col min="3334" max="3334" width="1" style="82" customWidth="1"/>
    <col min="3335" max="3335" width="2.140625" style="82" customWidth="1"/>
    <col min="3336" max="3336" width="1.42578125" style="82" customWidth="1"/>
    <col min="3337" max="3337" width="4" style="82" customWidth="1"/>
    <col min="3338" max="3338" width="13.5703125" style="82" customWidth="1"/>
    <col min="3339" max="3339" width="6" style="82" customWidth="1"/>
    <col min="3340" max="3340" width="6.7109375" style="82" customWidth="1"/>
    <col min="3341" max="3341" width="6.5703125" style="82" customWidth="1"/>
    <col min="3342" max="3342" width="7.5703125" style="82" customWidth="1"/>
    <col min="3343" max="3343" width="6.5703125" style="82" customWidth="1"/>
    <col min="3344" max="3344" width="7" style="82" customWidth="1"/>
    <col min="3345" max="3345" width="6.85546875" style="82" customWidth="1"/>
    <col min="3346" max="3346" width="8.28515625" style="82" customWidth="1"/>
    <col min="3347" max="3349" width="7.5703125" style="82" customWidth="1"/>
    <col min="3350" max="3350" width="7.28515625" style="82" customWidth="1"/>
    <col min="3351" max="3351" width="7.85546875" style="82" customWidth="1"/>
    <col min="3352" max="3352" width="6.42578125" style="82" customWidth="1"/>
    <col min="3353" max="3353" width="6.5703125" style="82" customWidth="1"/>
    <col min="3354" max="3354" width="7.140625" style="82" customWidth="1"/>
    <col min="3355" max="3356" width="8.140625" style="82" customWidth="1"/>
    <col min="3357" max="3357" width="6.7109375" style="82" customWidth="1"/>
    <col min="3358" max="3358" width="7.28515625" style="82" customWidth="1"/>
    <col min="3359" max="3359" width="8" style="82" customWidth="1"/>
    <col min="3360" max="3360" width="7.5703125" style="82" customWidth="1"/>
    <col min="3361" max="3361" width="7.28515625" style="82" customWidth="1"/>
    <col min="3362" max="3362" width="7" style="82" customWidth="1"/>
    <col min="3363" max="3372" width="9.140625" style="82"/>
    <col min="3373" max="3375" width="7.7109375" style="82" customWidth="1"/>
    <col min="3376" max="3395" width="4.85546875" style="82" customWidth="1"/>
    <col min="3396" max="3585" width="9.140625" style="82"/>
    <col min="3586" max="3586" width="6.5703125" style="82" customWidth="1"/>
    <col min="3587" max="3587" width="5.7109375" style="82" customWidth="1"/>
    <col min="3588" max="3588" width="1.42578125" style="82" customWidth="1"/>
    <col min="3589" max="3589" width="5.28515625" style="82" customWidth="1"/>
    <col min="3590" max="3590" width="1" style="82" customWidth="1"/>
    <col min="3591" max="3591" width="2.140625" style="82" customWidth="1"/>
    <col min="3592" max="3592" width="1.42578125" style="82" customWidth="1"/>
    <col min="3593" max="3593" width="4" style="82" customWidth="1"/>
    <col min="3594" max="3594" width="13.5703125" style="82" customWidth="1"/>
    <col min="3595" max="3595" width="6" style="82" customWidth="1"/>
    <col min="3596" max="3596" width="6.7109375" style="82" customWidth="1"/>
    <col min="3597" max="3597" width="6.5703125" style="82" customWidth="1"/>
    <col min="3598" max="3598" width="7.5703125" style="82" customWidth="1"/>
    <col min="3599" max="3599" width="6.5703125" style="82" customWidth="1"/>
    <col min="3600" max="3600" width="7" style="82" customWidth="1"/>
    <col min="3601" max="3601" width="6.85546875" style="82" customWidth="1"/>
    <col min="3602" max="3602" width="8.28515625" style="82" customWidth="1"/>
    <col min="3603" max="3605" width="7.5703125" style="82" customWidth="1"/>
    <col min="3606" max="3606" width="7.28515625" style="82" customWidth="1"/>
    <col min="3607" max="3607" width="7.85546875" style="82" customWidth="1"/>
    <col min="3608" max="3608" width="6.42578125" style="82" customWidth="1"/>
    <col min="3609" max="3609" width="6.5703125" style="82" customWidth="1"/>
    <col min="3610" max="3610" width="7.140625" style="82" customWidth="1"/>
    <col min="3611" max="3612" width="8.140625" style="82" customWidth="1"/>
    <col min="3613" max="3613" width="6.7109375" style="82" customWidth="1"/>
    <col min="3614" max="3614" width="7.28515625" style="82" customWidth="1"/>
    <col min="3615" max="3615" width="8" style="82" customWidth="1"/>
    <col min="3616" max="3616" width="7.5703125" style="82" customWidth="1"/>
    <col min="3617" max="3617" width="7.28515625" style="82" customWidth="1"/>
    <col min="3618" max="3618" width="7" style="82" customWidth="1"/>
    <col min="3619" max="3628" width="9.140625" style="82"/>
    <col min="3629" max="3631" width="7.7109375" style="82" customWidth="1"/>
    <col min="3632" max="3651" width="4.85546875" style="82" customWidth="1"/>
    <col min="3652" max="3841" width="9.140625" style="82"/>
    <col min="3842" max="3842" width="6.5703125" style="82" customWidth="1"/>
    <col min="3843" max="3843" width="5.7109375" style="82" customWidth="1"/>
    <col min="3844" max="3844" width="1.42578125" style="82" customWidth="1"/>
    <col min="3845" max="3845" width="5.28515625" style="82" customWidth="1"/>
    <col min="3846" max="3846" width="1" style="82" customWidth="1"/>
    <col min="3847" max="3847" width="2.140625" style="82" customWidth="1"/>
    <col min="3848" max="3848" width="1.42578125" style="82" customWidth="1"/>
    <col min="3849" max="3849" width="4" style="82" customWidth="1"/>
    <col min="3850" max="3850" width="13.5703125" style="82" customWidth="1"/>
    <col min="3851" max="3851" width="6" style="82" customWidth="1"/>
    <col min="3852" max="3852" width="6.7109375" style="82" customWidth="1"/>
    <col min="3853" max="3853" width="6.5703125" style="82" customWidth="1"/>
    <col min="3854" max="3854" width="7.5703125" style="82" customWidth="1"/>
    <col min="3855" max="3855" width="6.5703125" style="82" customWidth="1"/>
    <col min="3856" max="3856" width="7" style="82" customWidth="1"/>
    <col min="3857" max="3857" width="6.85546875" style="82" customWidth="1"/>
    <col min="3858" max="3858" width="8.28515625" style="82" customWidth="1"/>
    <col min="3859" max="3861" width="7.5703125" style="82" customWidth="1"/>
    <col min="3862" max="3862" width="7.28515625" style="82" customWidth="1"/>
    <col min="3863" max="3863" width="7.85546875" style="82" customWidth="1"/>
    <col min="3864" max="3864" width="6.42578125" style="82" customWidth="1"/>
    <col min="3865" max="3865" width="6.5703125" style="82" customWidth="1"/>
    <col min="3866" max="3866" width="7.140625" style="82" customWidth="1"/>
    <col min="3867" max="3868" width="8.140625" style="82" customWidth="1"/>
    <col min="3869" max="3869" width="6.7109375" style="82" customWidth="1"/>
    <col min="3870" max="3870" width="7.28515625" style="82" customWidth="1"/>
    <col min="3871" max="3871" width="8" style="82" customWidth="1"/>
    <col min="3872" max="3872" width="7.5703125" style="82" customWidth="1"/>
    <col min="3873" max="3873" width="7.28515625" style="82" customWidth="1"/>
    <col min="3874" max="3874" width="7" style="82" customWidth="1"/>
    <col min="3875" max="3884" width="9.140625" style="82"/>
    <col min="3885" max="3887" width="7.7109375" style="82" customWidth="1"/>
    <col min="3888" max="3907" width="4.85546875" style="82" customWidth="1"/>
    <col min="3908" max="4097" width="9.140625" style="82"/>
    <col min="4098" max="4098" width="6.5703125" style="82" customWidth="1"/>
    <col min="4099" max="4099" width="5.7109375" style="82" customWidth="1"/>
    <col min="4100" max="4100" width="1.42578125" style="82" customWidth="1"/>
    <col min="4101" max="4101" width="5.28515625" style="82" customWidth="1"/>
    <col min="4102" max="4102" width="1" style="82" customWidth="1"/>
    <col min="4103" max="4103" width="2.140625" style="82" customWidth="1"/>
    <col min="4104" max="4104" width="1.42578125" style="82" customWidth="1"/>
    <col min="4105" max="4105" width="4" style="82" customWidth="1"/>
    <col min="4106" max="4106" width="13.5703125" style="82" customWidth="1"/>
    <col min="4107" max="4107" width="6" style="82" customWidth="1"/>
    <col min="4108" max="4108" width="6.7109375" style="82" customWidth="1"/>
    <col min="4109" max="4109" width="6.5703125" style="82" customWidth="1"/>
    <col min="4110" max="4110" width="7.5703125" style="82" customWidth="1"/>
    <col min="4111" max="4111" width="6.5703125" style="82" customWidth="1"/>
    <col min="4112" max="4112" width="7" style="82" customWidth="1"/>
    <col min="4113" max="4113" width="6.85546875" style="82" customWidth="1"/>
    <col min="4114" max="4114" width="8.28515625" style="82" customWidth="1"/>
    <col min="4115" max="4117" width="7.5703125" style="82" customWidth="1"/>
    <col min="4118" max="4118" width="7.28515625" style="82" customWidth="1"/>
    <col min="4119" max="4119" width="7.85546875" style="82" customWidth="1"/>
    <col min="4120" max="4120" width="6.42578125" style="82" customWidth="1"/>
    <col min="4121" max="4121" width="6.5703125" style="82" customWidth="1"/>
    <col min="4122" max="4122" width="7.140625" style="82" customWidth="1"/>
    <col min="4123" max="4124" width="8.140625" style="82" customWidth="1"/>
    <col min="4125" max="4125" width="6.7109375" style="82" customWidth="1"/>
    <col min="4126" max="4126" width="7.28515625" style="82" customWidth="1"/>
    <col min="4127" max="4127" width="8" style="82" customWidth="1"/>
    <col min="4128" max="4128" width="7.5703125" style="82" customWidth="1"/>
    <col min="4129" max="4129" width="7.28515625" style="82" customWidth="1"/>
    <col min="4130" max="4130" width="7" style="82" customWidth="1"/>
    <col min="4131" max="4140" width="9.140625" style="82"/>
    <col min="4141" max="4143" width="7.7109375" style="82" customWidth="1"/>
    <col min="4144" max="4163" width="4.85546875" style="82" customWidth="1"/>
    <col min="4164" max="4353" width="9.140625" style="82"/>
    <col min="4354" max="4354" width="6.5703125" style="82" customWidth="1"/>
    <col min="4355" max="4355" width="5.7109375" style="82" customWidth="1"/>
    <col min="4356" max="4356" width="1.42578125" style="82" customWidth="1"/>
    <col min="4357" max="4357" width="5.28515625" style="82" customWidth="1"/>
    <col min="4358" max="4358" width="1" style="82" customWidth="1"/>
    <col min="4359" max="4359" width="2.140625" style="82" customWidth="1"/>
    <col min="4360" max="4360" width="1.42578125" style="82" customWidth="1"/>
    <col min="4361" max="4361" width="4" style="82" customWidth="1"/>
    <col min="4362" max="4362" width="13.5703125" style="82" customWidth="1"/>
    <col min="4363" max="4363" width="6" style="82" customWidth="1"/>
    <col min="4364" max="4364" width="6.7109375" style="82" customWidth="1"/>
    <col min="4365" max="4365" width="6.5703125" style="82" customWidth="1"/>
    <col min="4366" max="4366" width="7.5703125" style="82" customWidth="1"/>
    <col min="4367" max="4367" width="6.5703125" style="82" customWidth="1"/>
    <col min="4368" max="4368" width="7" style="82" customWidth="1"/>
    <col min="4369" max="4369" width="6.85546875" style="82" customWidth="1"/>
    <col min="4370" max="4370" width="8.28515625" style="82" customWidth="1"/>
    <col min="4371" max="4373" width="7.5703125" style="82" customWidth="1"/>
    <col min="4374" max="4374" width="7.28515625" style="82" customWidth="1"/>
    <col min="4375" max="4375" width="7.85546875" style="82" customWidth="1"/>
    <col min="4376" max="4376" width="6.42578125" style="82" customWidth="1"/>
    <col min="4377" max="4377" width="6.5703125" style="82" customWidth="1"/>
    <col min="4378" max="4378" width="7.140625" style="82" customWidth="1"/>
    <col min="4379" max="4380" width="8.140625" style="82" customWidth="1"/>
    <col min="4381" max="4381" width="6.7109375" style="82" customWidth="1"/>
    <col min="4382" max="4382" width="7.28515625" style="82" customWidth="1"/>
    <col min="4383" max="4383" width="8" style="82" customWidth="1"/>
    <col min="4384" max="4384" width="7.5703125" style="82" customWidth="1"/>
    <col min="4385" max="4385" width="7.28515625" style="82" customWidth="1"/>
    <col min="4386" max="4386" width="7" style="82" customWidth="1"/>
    <col min="4387" max="4396" width="9.140625" style="82"/>
    <col min="4397" max="4399" width="7.7109375" style="82" customWidth="1"/>
    <col min="4400" max="4419" width="4.85546875" style="82" customWidth="1"/>
    <col min="4420" max="4609" width="9.140625" style="82"/>
    <col min="4610" max="4610" width="6.5703125" style="82" customWidth="1"/>
    <col min="4611" max="4611" width="5.7109375" style="82" customWidth="1"/>
    <col min="4612" max="4612" width="1.42578125" style="82" customWidth="1"/>
    <col min="4613" max="4613" width="5.28515625" style="82" customWidth="1"/>
    <col min="4614" max="4614" width="1" style="82" customWidth="1"/>
    <col min="4615" max="4615" width="2.140625" style="82" customWidth="1"/>
    <col min="4616" max="4616" width="1.42578125" style="82" customWidth="1"/>
    <col min="4617" max="4617" width="4" style="82" customWidth="1"/>
    <col min="4618" max="4618" width="13.5703125" style="82" customWidth="1"/>
    <col min="4619" max="4619" width="6" style="82" customWidth="1"/>
    <col min="4620" max="4620" width="6.7109375" style="82" customWidth="1"/>
    <col min="4621" max="4621" width="6.5703125" style="82" customWidth="1"/>
    <col min="4622" max="4622" width="7.5703125" style="82" customWidth="1"/>
    <col min="4623" max="4623" width="6.5703125" style="82" customWidth="1"/>
    <col min="4624" max="4624" width="7" style="82" customWidth="1"/>
    <col min="4625" max="4625" width="6.85546875" style="82" customWidth="1"/>
    <col min="4626" max="4626" width="8.28515625" style="82" customWidth="1"/>
    <col min="4627" max="4629" width="7.5703125" style="82" customWidth="1"/>
    <col min="4630" max="4630" width="7.28515625" style="82" customWidth="1"/>
    <col min="4631" max="4631" width="7.85546875" style="82" customWidth="1"/>
    <col min="4632" max="4632" width="6.42578125" style="82" customWidth="1"/>
    <col min="4633" max="4633" width="6.5703125" style="82" customWidth="1"/>
    <col min="4634" max="4634" width="7.140625" style="82" customWidth="1"/>
    <col min="4635" max="4636" width="8.140625" style="82" customWidth="1"/>
    <col min="4637" max="4637" width="6.7109375" style="82" customWidth="1"/>
    <col min="4638" max="4638" width="7.28515625" style="82" customWidth="1"/>
    <col min="4639" max="4639" width="8" style="82" customWidth="1"/>
    <col min="4640" max="4640" width="7.5703125" style="82" customWidth="1"/>
    <col min="4641" max="4641" width="7.28515625" style="82" customWidth="1"/>
    <col min="4642" max="4642" width="7" style="82" customWidth="1"/>
    <col min="4643" max="4652" width="9.140625" style="82"/>
    <col min="4653" max="4655" width="7.7109375" style="82" customWidth="1"/>
    <col min="4656" max="4675" width="4.85546875" style="82" customWidth="1"/>
    <col min="4676" max="4865" width="9.140625" style="82"/>
    <col min="4866" max="4866" width="6.5703125" style="82" customWidth="1"/>
    <col min="4867" max="4867" width="5.7109375" style="82" customWidth="1"/>
    <col min="4868" max="4868" width="1.42578125" style="82" customWidth="1"/>
    <col min="4869" max="4869" width="5.28515625" style="82" customWidth="1"/>
    <col min="4870" max="4870" width="1" style="82" customWidth="1"/>
    <col min="4871" max="4871" width="2.140625" style="82" customWidth="1"/>
    <col min="4872" max="4872" width="1.42578125" style="82" customWidth="1"/>
    <col min="4873" max="4873" width="4" style="82" customWidth="1"/>
    <col min="4874" max="4874" width="13.5703125" style="82" customWidth="1"/>
    <col min="4875" max="4875" width="6" style="82" customWidth="1"/>
    <col min="4876" max="4876" width="6.7109375" style="82" customWidth="1"/>
    <col min="4877" max="4877" width="6.5703125" style="82" customWidth="1"/>
    <col min="4878" max="4878" width="7.5703125" style="82" customWidth="1"/>
    <col min="4879" max="4879" width="6.5703125" style="82" customWidth="1"/>
    <col min="4880" max="4880" width="7" style="82" customWidth="1"/>
    <col min="4881" max="4881" width="6.85546875" style="82" customWidth="1"/>
    <col min="4882" max="4882" width="8.28515625" style="82" customWidth="1"/>
    <col min="4883" max="4885" width="7.5703125" style="82" customWidth="1"/>
    <col min="4886" max="4886" width="7.28515625" style="82" customWidth="1"/>
    <col min="4887" max="4887" width="7.85546875" style="82" customWidth="1"/>
    <col min="4888" max="4888" width="6.42578125" style="82" customWidth="1"/>
    <col min="4889" max="4889" width="6.5703125" style="82" customWidth="1"/>
    <col min="4890" max="4890" width="7.140625" style="82" customWidth="1"/>
    <col min="4891" max="4892" width="8.140625" style="82" customWidth="1"/>
    <col min="4893" max="4893" width="6.7109375" style="82" customWidth="1"/>
    <col min="4894" max="4894" width="7.28515625" style="82" customWidth="1"/>
    <col min="4895" max="4895" width="8" style="82" customWidth="1"/>
    <col min="4896" max="4896" width="7.5703125" style="82" customWidth="1"/>
    <col min="4897" max="4897" width="7.28515625" style="82" customWidth="1"/>
    <col min="4898" max="4898" width="7" style="82" customWidth="1"/>
    <col min="4899" max="4908" width="9.140625" style="82"/>
    <col min="4909" max="4911" width="7.7109375" style="82" customWidth="1"/>
    <col min="4912" max="4931" width="4.85546875" style="82" customWidth="1"/>
    <col min="4932" max="5121" width="9.140625" style="82"/>
    <col min="5122" max="5122" width="6.5703125" style="82" customWidth="1"/>
    <col min="5123" max="5123" width="5.7109375" style="82" customWidth="1"/>
    <col min="5124" max="5124" width="1.42578125" style="82" customWidth="1"/>
    <col min="5125" max="5125" width="5.28515625" style="82" customWidth="1"/>
    <col min="5126" max="5126" width="1" style="82" customWidth="1"/>
    <col min="5127" max="5127" width="2.140625" style="82" customWidth="1"/>
    <col min="5128" max="5128" width="1.42578125" style="82" customWidth="1"/>
    <col min="5129" max="5129" width="4" style="82" customWidth="1"/>
    <col min="5130" max="5130" width="13.5703125" style="82" customWidth="1"/>
    <col min="5131" max="5131" width="6" style="82" customWidth="1"/>
    <col min="5132" max="5132" width="6.7109375" style="82" customWidth="1"/>
    <col min="5133" max="5133" width="6.5703125" style="82" customWidth="1"/>
    <col min="5134" max="5134" width="7.5703125" style="82" customWidth="1"/>
    <col min="5135" max="5135" width="6.5703125" style="82" customWidth="1"/>
    <col min="5136" max="5136" width="7" style="82" customWidth="1"/>
    <col min="5137" max="5137" width="6.85546875" style="82" customWidth="1"/>
    <col min="5138" max="5138" width="8.28515625" style="82" customWidth="1"/>
    <col min="5139" max="5141" width="7.5703125" style="82" customWidth="1"/>
    <col min="5142" max="5142" width="7.28515625" style="82" customWidth="1"/>
    <col min="5143" max="5143" width="7.85546875" style="82" customWidth="1"/>
    <col min="5144" max="5144" width="6.42578125" style="82" customWidth="1"/>
    <col min="5145" max="5145" width="6.5703125" style="82" customWidth="1"/>
    <col min="5146" max="5146" width="7.140625" style="82" customWidth="1"/>
    <col min="5147" max="5148" width="8.140625" style="82" customWidth="1"/>
    <col min="5149" max="5149" width="6.7109375" style="82" customWidth="1"/>
    <col min="5150" max="5150" width="7.28515625" style="82" customWidth="1"/>
    <col min="5151" max="5151" width="8" style="82" customWidth="1"/>
    <col min="5152" max="5152" width="7.5703125" style="82" customWidth="1"/>
    <col min="5153" max="5153" width="7.28515625" style="82" customWidth="1"/>
    <col min="5154" max="5154" width="7" style="82" customWidth="1"/>
    <col min="5155" max="5164" width="9.140625" style="82"/>
    <col min="5165" max="5167" width="7.7109375" style="82" customWidth="1"/>
    <col min="5168" max="5187" width="4.85546875" style="82" customWidth="1"/>
    <col min="5188" max="5377" width="9.140625" style="82"/>
    <col min="5378" max="5378" width="6.5703125" style="82" customWidth="1"/>
    <col min="5379" max="5379" width="5.7109375" style="82" customWidth="1"/>
    <col min="5380" max="5380" width="1.42578125" style="82" customWidth="1"/>
    <col min="5381" max="5381" width="5.28515625" style="82" customWidth="1"/>
    <col min="5382" max="5382" width="1" style="82" customWidth="1"/>
    <col min="5383" max="5383" width="2.140625" style="82" customWidth="1"/>
    <col min="5384" max="5384" width="1.42578125" style="82" customWidth="1"/>
    <col min="5385" max="5385" width="4" style="82" customWidth="1"/>
    <col min="5386" max="5386" width="13.5703125" style="82" customWidth="1"/>
    <col min="5387" max="5387" width="6" style="82" customWidth="1"/>
    <col min="5388" max="5388" width="6.7109375" style="82" customWidth="1"/>
    <col min="5389" max="5389" width="6.5703125" style="82" customWidth="1"/>
    <col min="5390" max="5390" width="7.5703125" style="82" customWidth="1"/>
    <col min="5391" max="5391" width="6.5703125" style="82" customWidth="1"/>
    <col min="5392" max="5392" width="7" style="82" customWidth="1"/>
    <col min="5393" max="5393" width="6.85546875" style="82" customWidth="1"/>
    <col min="5394" max="5394" width="8.28515625" style="82" customWidth="1"/>
    <col min="5395" max="5397" width="7.5703125" style="82" customWidth="1"/>
    <col min="5398" max="5398" width="7.28515625" style="82" customWidth="1"/>
    <col min="5399" max="5399" width="7.85546875" style="82" customWidth="1"/>
    <col min="5400" max="5400" width="6.42578125" style="82" customWidth="1"/>
    <col min="5401" max="5401" width="6.5703125" style="82" customWidth="1"/>
    <col min="5402" max="5402" width="7.140625" style="82" customWidth="1"/>
    <col min="5403" max="5404" width="8.140625" style="82" customWidth="1"/>
    <col min="5405" max="5405" width="6.7109375" style="82" customWidth="1"/>
    <col min="5406" max="5406" width="7.28515625" style="82" customWidth="1"/>
    <col min="5407" max="5407" width="8" style="82" customWidth="1"/>
    <col min="5408" max="5408" width="7.5703125" style="82" customWidth="1"/>
    <col min="5409" max="5409" width="7.28515625" style="82" customWidth="1"/>
    <col min="5410" max="5410" width="7" style="82" customWidth="1"/>
    <col min="5411" max="5420" width="9.140625" style="82"/>
    <col min="5421" max="5423" width="7.7109375" style="82" customWidth="1"/>
    <col min="5424" max="5443" width="4.85546875" style="82" customWidth="1"/>
    <col min="5444" max="5633" width="9.140625" style="82"/>
    <col min="5634" max="5634" width="6.5703125" style="82" customWidth="1"/>
    <col min="5635" max="5635" width="5.7109375" style="82" customWidth="1"/>
    <col min="5636" max="5636" width="1.42578125" style="82" customWidth="1"/>
    <col min="5637" max="5637" width="5.28515625" style="82" customWidth="1"/>
    <col min="5638" max="5638" width="1" style="82" customWidth="1"/>
    <col min="5639" max="5639" width="2.140625" style="82" customWidth="1"/>
    <col min="5640" max="5640" width="1.42578125" style="82" customWidth="1"/>
    <col min="5641" max="5641" width="4" style="82" customWidth="1"/>
    <col min="5642" max="5642" width="13.5703125" style="82" customWidth="1"/>
    <col min="5643" max="5643" width="6" style="82" customWidth="1"/>
    <col min="5644" max="5644" width="6.7109375" style="82" customWidth="1"/>
    <col min="5645" max="5645" width="6.5703125" style="82" customWidth="1"/>
    <col min="5646" max="5646" width="7.5703125" style="82" customWidth="1"/>
    <col min="5647" max="5647" width="6.5703125" style="82" customWidth="1"/>
    <col min="5648" max="5648" width="7" style="82" customWidth="1"/>
    <col min="5649" max="5649" width="6.85546875" style="82" customWidth="1"/>
    <col min="5650" max="5650" width="8.28515625" style="82" customWidth="1"/>
    <col min="5651" max="5653" width="7.5703125" style="82" customWidth="1"/>
    <col min="5654" max="5654" width="7.28515625" style="82" customWidth="1"/>
    <col min="5655" max="5655" width="7.85546875" style="82" customWidth="1"/>
    <col min="5656" max="5656" width="6.42578125" style="82" customWidth="1"/>
    <col min="5657" max="5657" width="6.5703125" style="82" customWidth="1"/>
    <col min="5658" max="5658" width="7.140625" style="82" customWidth="1"/>
    <col min="5659" max="5660" width="8.140625" style="82" customWidth="1"/>
    <col min="5661" max="5661" width="6.7109375" style="82" customWidth="1"/>
    <col min="5662" max="5662" width="7.28515625" style="82" customWidth="1"/>
    <col min="5663" max="5663" width="8" style="82" customWidth="1"/>
    <col min="5664" max="5664" width="7.5703125" style="82" customWidth="1"/>
    <col min="5665" max="5665" width="7.28515625" style="82" customWidth="1"/>
    <col min="5666" max="5666" width="7" style="82" customWidth="1"/>
    <col min="5667" max="5676" width="9.140625" style="82"/>
    <col min="5677" max="5679" width="7.7109375" style="82" customWidth="1"/>
    <col min="5680" max="5699" width="4.85546875" style="82" customWidth="1"/>
    <col min="5700" max="5889" width="9.140625" style="82"/>
    <col min="5890" max="5890" width="6.5703125" style="82" customWidth="1"/>
    <col min="5891" max="5891" width="5.7109375" style="82" customWidth="1"/>
    <col min="5892" max="5892" width="1.42578125" style="82" customWidth="1"/>
    <col min="5893" max="5893" width="5.28515625" style="82" customWidth="1"/>
    <col min="5894" max="5894" width="1" style="82" customWidth="1"/>
    <col min="5895" max="5895" width="2.140625" style="82" customWidth="1"/>
    <col min="5896" max="5896" width="1.42578125" style="82" customWidth="1"/>
    <col min="5897" max="5897" width="4" style="82" customWidth="1"/>
    <col min="5898" max="5898" width="13.5703125" style="82" customWidth="1"/>
    <col min="5899" max="5899" width="6" style="82" customWidth="1"/>
    <col min="5900" max="5900" width="6.7109375" style="82" customWidth="1"/>
    <col min="5901" max="5901" width="6.5703125" style="82" customWidth="1"/>
    <col min="5902" max="5902" width="7.5703125" style="82" customWidth="1"/>
    <col min="5903" max="5903" width="6.5703125" style="82" customWidth="1"/>
    <col min="5904" max="5904" width="7" style="82" customWidth="1"/>
    <col min="5905" max="5905" width="6.85546875" style="82" customWidth="1"/>
    <col min="5906" max="5906" width="8.28515625" style="82" customWidth="1"/>
    <col min="5907" max="5909" width="7.5703125" style="82" customWidth="1"/>
    <col min="5910" max="5910" width="7.28515625" style="82" customWidth="1"/>
    <col min="5911" max="5911" width="7.85546875" style="82" customWidth="1"/>
    <col min="5912" max="5912" width="6.42578125" style="82" customWidth="1"/>
    <col min="5913" max="5913" width="6.5703125" style="82" customWidth="1"/>
    <col min="5914" max="5914" width="7.140625" style="82" customWidth="1"/>
    <col min="5915" max="5916" width="8.140625" style="82" customWidth="1"/>
    <col min="5917" max="5917" width="6.7109375" style="82" customWidth="1"/>
    <col min="5918" max="5918" width="7.28515625" style="82" customWidth="1"/>
    <col min="5919" max="5919" width="8" style="82" customWidth="1"/>
    <col min="5920" max="5920" width="7.5703125" style="82" customWidth="1"/>
    <col min="5921" max="5921" width="7.28515625" style="82" customWidth="1"/>
    <col min="5922" max="5922" width="7" style="82" customWidth="1"/>
    <col min="5923" max="5932" width="9.140625" style="82"/>
    <col min="5933" max="5935" width="7.7109375" style="82" customWidth="1"/>
    <col min="5936" max="5955" width="4.85546875" style="82" customWidth="1"/>
    <col min="5956" max="6145" width="9.140625" style="82"/>
    <col min="6146" max="6146" width="6.5703125" style="82" customWidth="1"/>
    <col min="6147" max="6147" width="5.7109375" style="82" customWidth="1"/>
    <col min="6148" max="6148" width="1.42578125" style="82" customWidth="1"/>
    <col min="6149" max="6149" width="5.28515625" style="82" customWidth="1"/>
    <col min="6150" max="6150" width="1" style="82" customWidth="1"/>
    <col min="6151" max="6151" width="2.140625" style="82" customWidth="1"/>
    <col min="6152" max="6152" width="1.42578125" style="82" customWidth="1"/>
    <col min="6153" max="6153" width="4" style="82" customWidth="1"/>
    <col min="6154" max="6154" width="13.5703125" style="82" customWidth="1"/>
    <col min="6155" max="6155" width="6" style="82" customWidth="1"/>
    <col min="6156" max="6156" width="6.7109375" style="82" customWidth="1"/>
    <col min="6157" max="6157" width="6.5703125" style="82" customWidth="1"/>
    <col min="6158" max="6158" width="7.5703125" style="82" customWidth="1"/>
    <col min="6159" max="6159" width="6.5703125" style="82" customWidth="1"/>
    <col min="6160" max="6160" width="7" style="82" customWidth="1"/>
    <col min="6161" max="6161" width="6.85546875" style="82" customWidth="1"/>
    <col min="6162" max="6162" width="8.28515625" style="82" customWidth="1"/>
    <col min="6163" max="6165" width="7.5703125" style="82" customWidth="1"/>
    <col min="6166" max="6166" width="7.28515625" style="82" customWidth="1"/>
    <col min="6167" max="6167" width="7.85546875" style="82" customWidth="1"/>
    <col min="6168" max="6168" width="6.42578125" style="82" customWidth="1"/>
    <col min="6169" max="6169" width="6.5703125" style="82" customWidth="1"/>
    <col min="6170" max="6170" width="7.140625" style="82" customWidth="1"/>
    <col min="6171" max="6172" width="8.140625" style="82" customWidth="1"/>
    <col min="6173" max="6173" width="6.7109375" style="82" customWidth="1"/>
    <col min="6174" max="6174" width="7.28515625" style="82" customWidth="1"/>
    <col min="6175" max="6175" width="8" style="82" customWidth="1"/>
    <col min="6176" max="6176" width="7.5703125" style="82" customWidth="1"/>
    <col min="6177" max="6177" width="7.28515625" style="82" customWidth="1"/>
    <col min="6178" max="6178" width="7" style="82" customWidth="1"/>
    <col min="6179" max="6188" width="9.140625" style="82"/>
    <col min="6189" max="6191" width="7.7109375" style="82" customWidth="1"/>
    <col min="6192" max="6211" width="4.85546875" style="82" customWidth="1"/>
    <col min="6212" max="6401" width="9.140625" style="82"/>
    <col min="6402" max="6402" width="6.5703125" style="82" customWidth="1"/>
    <col min="6403" max="6403" width="5.7109375" style="82" customWidth="1"/>
    <col min="6404" max="6404" width="1.42578125" style="82" customWidth="1"/>
    <col min="6405" max="6405" width="5.28515625" style="82" customWidth="1"/>
    <col min="6406" max="6406" width="1" style="82" customWidth="1"/>
    <col min="6407" max="6407" width="2.140625" style="82" customWidth="1"/>
    <col min="6408" max="6408" width="1.42578125" style="82" customWidth="1"/>
    <col min="6409" max="6409" width="4" style="82" customWidth="1"/>
    <col min="6410" max="6410" width="13.5703125" style="82" customWidth="1"/>
    <col min="6411" max="6411" width="6" style="82" customWidth="1"/>
    <col min="6412" max="6412" width="6.7109375" style="82" customWidth="1"/>
    <col min="6413" max="6413" width="6.5703125" style="82" customWidth="1"/>
    <col min="6414" max="6414" width="7.5703125" style="82" customWidth="1"/>
    <col min="6415" max="6415" width="6.5703125" style="82" customWidth="1"/>
    <col min="6416" max="6416" width="7" style="82" customWidth="1"/>
    <col min="6417" max="6417" width="6.85546875" style="82" customWidth="1"/>
    <col min="6418" max="6418" width="8.28515625" style="82" customWidth="1"/>
    <col min="6419" max="6421" width="7.5703125" style="82" customWidth="1"/>
    <col min="6422" max="6422" width="7.28515625" style="82" customWidth="1"/>
    <col min="6423" max="6423" width="7.85546875" style="82" customWidth="1"/>
    <col min="6424" max="6424" width="6.42578125" style="82" customWidth="1"/>
    <col min="6425" max="6425" width="6.5703125" style="82" customWidth="1"/>
    <col min="6426" max="6426" width="7.140625" style="82" customWidth="1"/>
    <col min="6427" max="6428" width="8.140625" style="82" customWidth="1"/>
    <col min="6429" max="6429" width="6.7109375" style="82" customWidth="1"/>
    <col min="6430" max="6430" width="7.28515625" style="82" customWidth="1"/>
    <col min="6431" max="6431" width="8" style="82" customWidth="1"/>
    <col min="6432" max="6432" width="7.5703125" style="82" customWidth="1"/>
    <col min="6433" max="6433" width="7.28515625" style="82" customWidth="1"/>
    <col min="6434" max="6434" width="7" style="82" customWidth="1"/>
    <col min="6435" max="6444" width="9.140625" style="82"/>
    <col min="6445" max="6447" width="7.7109375" style="82" customWidth="1"/>
    <col min="6448" max="6467" width="4.85546875" style="82" customWidth="1"/>
    <col min="6468" max="6657" width="9.140625" style="82"/>
    <col min="6658" max="6658" width="6.5703125" style="82" customWidth="1"/>
    <col min="6659" max="6659" width="5.7109375" style="82" customWidth="1"/>
    <col min="6660" max="6660" width="1.42578125" style="82" customWidth="1"/>
    <col min="6661" max="6661" width="5.28515625" style="82" customWidth="1"/>
    <col min="6662" max="6662" width="1" style="82" customWidth="1"/>
    <col min="6663" max="6663" width="2.140625" style="82" customWidth="1"/>
    <col min="6664" max="6664" width="1.42578125" style="82" customWidth="1"/>
    <col min="6665" max="6665" width="4" style="82" customWidth="1"/>
    <col min="6666" max="6666" width="13.5703125" style="82" customWidth="1"/>
    <col min="6667" max="6667" width="6" style="82" customWidth="1"/>
    <col min="6668" max="6668" width="6.7109375" style="82" customWidth="1"/>
    <col min="6669" max="6669" width="6.5703125" style="82" customWidth="1"/>
    <col min="6670" max="6670" width="7.5703125" style="82" customWidth="1"/>
    <col min="6671" max="6671" width="6.5703125" style="82" customWidth="1"/>
    <col min="6672" max="6672" width="7" style="82" customWidth="1"/>
    <col min="6673" max="6673" width="6.85546875" style="82" customWidth="1"/>
    <col min="6674" max="6674" width="8.28515625" style="82" customWidth="1"/>
    <col min="6675" max="6677" width="7.5703125" style="82" customWidth="1"/>
    <col min="6678" max="6678" width="7.28515625" style="82" customWidth="1"/>
    <col min="6679" max="6679" width="7.85546875" style="82" customWidth="1"/>
    <col min="6680" max="6680" width="6.42578125" style="82" customWidth="1"/>
    <col min="6681" max="6681" width="6.5703125" style="82" customWidth="1"/>
    <col min="6682" max="6682" width="7.140625" style="82" customWidth="1"/>
    <col min="6683" max="6684" width="8.140625" style="82" customWidth="1"/>
    <col min="6685" max="6685" width="6.7109375" style="82" customWidth="1"/>
    <col min="6686" max="6686" width="7.28515625" style="82" customWidth="1"/>
    <col min="6687" max="6687" width="8" style="82" customWidth="1"/>
    <col min="6688" max="6688" width="7.5703125" style="82" customWidth="1"/>
    <col min="6689" max="6689" width="7.28515625" style="82" customWidth="1"/>
    <col min="6690" max="6690" width="7" style="82" customWidth="1"/>
    <col min="6691" max="6700" width="9.140625" style="82"/>
    <col min="6701" max="6703" width="7.7109375" style="82" customWidth="1"/>
    <col min="6704" max="6723" width="4.85546875" style="82" customWidth="1"/>
    <col min="6724" max="6913" width="9.140625" style="82"/>
    <col min="6914" max="6914" width="6.5703125" style="82" customWidth="1"/>
    <col min="6915" max="6915" width="5.7109375" style="82" customWidth="1"/>
    <col min="6916" max="6916" width="1.42578125" style="82" customWidth="1"/>
    <col min="6917" max="6917" width="5.28515625" style="82" customWidth="1"/>
    <col min="6918" max="6918" width="1" style="82" customWidth="1"/>
    <col min="6919" max="6919" width="2.140625" style="82" customWidth="1"/>
    <col min="6920" max="6920" width="1.42578125" style="82" customWidth="1"/>
    <col min="6921" max="6921" width="4" style="82" customWidth="1"/>
    <col min="6922" max="6922" width="13.5703125" style="82" customWidth="1"/>
    <col min="6923" max="6923" width="6" style="82" customWidth="1"/>
    <col min="6924" max="6924" width="6.7109375" style="82" customWidth="1"/>
    <col min="6925" max="6925" width="6.5703125" style="82" customWidth="1"/>
    <col min="6926" max="6926" width="7.5703125" style="82" customWidth="1"/>
    <col min="6927" max="6927" width="6.5703125" style="82" customWidth="1"/>
    <col min="6928" max="6928" width="7" style="82" customWidth="1"/>
    <col min="6929" max="6929" width="6.85546875" style="82" customWidth="1"/>
    <col min="6930" max="6930" width="8.28515625" style="82" customWidth="1"/>
    <col min="6931" max="6933" width="7.5703125" style="82" customWidth="1"/>
    <col min="6934" max="6934" width="7.28515625" style="82" customWidth="1"/>
    <col min="6935" max="6935" width="7.85546875" style="82" customWidth="1"/>
    <col min="6936" max="6936" width="6.42578125" style="82" customWidth="1"/>
    <col min="6937" max="6937" width="6.5703125" style="82" customWidth="1"/>
    <col min="6938" max="6938" width="7.140625" style="82" customWidth="1"/>
    <col min="6939" max="6940" width="8.140625" style="82" customWidth="1"/>
    <col min="6941" max="6941" width="6.7109375" style="82" customWidth="1"/>
    <col min="6942" max="6942" width="7.28515625" style="82" customWidth="1"/>
    <col min="6943" max="6943" width="8" style="82" customWidth="1"/>
    <col min="6944" max="6944" width="7.5703125" style="82" customWidth="1"/>
    <col min="6945" max="6945" width="7.28515625" style="82" customWidth="1"/>
    <col min="6946" max="6946" width="7" style="82" customWidth="1"/>
    <col min="6947" max="6956" width="9.140625" style="82"/>
    <col min="6957" max="6959" width="7.7109375" style="82" customWidth="1"/>
    <col min="6960" max="6979" width="4.85546875" style="82" customWidth="1"/>
    <col min="6980" max="7169" width="9.140625" style="82"/>
    <col min="7170" max="7170" width="6.5703125" style="82" customWidth="1"/>
    <col min="7171" max="7171" width="5.7109375" style="82" customWidth="1"/>
    <col min="7172" max="7172" width="1.42578125" style="82" customWidth="1"/>
    <col min="7173" max="7173" width="5.28515625" style="82" customWidth="1"/>
    <col min="7174" max="7174" width="1" style="82" customWidth="1"/>
    <col min="7175" max="7175" width="2.140625" style="82" customWidth="1"/>
    <col min="7176" max="7176" width="1.42578125" style="82" customWidth="1"/>
    <col min="7177" max="7177" width="4" style="82" customWidth="1"/>
    <col min="7178" max="7178" width="13.5703125" style="82" customWidth="1"/>
    <col min="7179" max="7179" width="6" style="82" customWidth="1"/>
    <col min="7180" max="7180" width="6.7109375" style="82" customWidth="1"/>
    <col min="7181" max="7181" width="6.5703125" style="82" customWidth="1"/>
    <col min="7182" max="7182" width="7.5703125" style="82" customWidth="1"/>
    <col min="7183" max="7183" width="6.5703125" style="82" customWidth="1"/>
    <col min="7184" max="7184" width="7" style="82" customWidth="1"/>
    <col min="7185" max="7185" width="6.85546875" style="82" customWidth="1"/>
    <col min="7186" max="7186" width="8.28515625" style="82" customWidth="1"/>
    <col min="7187" max="7189" width="7.5703125" style="82" customWidth="1"/>
    <col min="7190" max="7190" width="7.28515625" style="82" customWidth="1"/>
    <col min="7191" max="7191" width="7.85546875" style="82" customWidth="1"/>
    <col min="7192" max="7192" width="6.42578125" style="82" customWidth="1"/>
    <col min="7193" max="7193" width="6.5703125" style="82" customWidth="1"/>
    <col min="7194" max="7194" width="7.140625" style="82" customWidth="1"/>
    <col min="7195" max="7196" width="8.140625" style="82" customWidth="1"/>
    <col min="7197" max="7197" width="6.7109375" style="82" customWidth="1"/>
    <col min="7198" max="7198" width="7.28515625" style="82" customWidth="1"/>
    <col min="7199" max="7199" width="8" style="82" customWidth="1"/>
    <col min="7200" max="7200" width="7.5703125" style="82" customWidth="1"/>
    <col min="7201" max="7201" width="7.28515625" style="82" customWidth="1"/>
    <col min="7202" max="7202" width="7" style="82" customWidth="1"/>
    <col min="7203" max="7212" width="9.140625" style="82"/>
    <col min="7213" max="7215" width="7.7109375" style="82" customWidth="1"/>
    <col min="7216" max="7235" width="4.85546875" style="82" customWidth="1"/>
    <col min="7236" max="7425" width="9.140625" style="82"/>
    <col min="7426" max="7426" width="6.5703125" style="82" customWidth="1"/>
    <col min="7427" max="7427" width="5.7109375" style="82" customWidth="1"/>
    <col min="7428" max="7428" width="1.42578125" style="82" customWidth="1"/>
    <col min="7429" max="7429" width="5.28515625" style="82" customWidth="1"/>
    <col min="7430" max="7430" width="1" style="82" customWidth="1"/>
    <col min="7431" max="7431" width="2.140625" style="82" customWidth="1"/>
    <col min="7432" max="7432" width="1.42578125" style="82" customWidth="1"/>
    <col min="7433" max="7433" width="4" style="82" customWidth="1"/>
    <col min="7434" max="7434" width="13.5703125" style="82" customWidth="1"/>
    <col min="7435" max="7435" width="6" style="82" customWidth="1"/>
    <col min="7436" max="7436" width="6.7109375" style="82" customWidth="1"/>
    <col min="7437" max="7437" width="6.5703125" style="82" customWidth="1"/>
    <col min="7438" max="7438" width="7.5703125" style="82" customWidth="1"/>
    <col min="7439" max="7439" width="6.5703125" style="82" customWidth="1"/>
    <col min="7440" max="7440" width="7" style="82" customWidth="1"/>
    <col min="7441" max="7441" width="6.85546875" style="82" customWidth="1"/>
    <col min="7442" max="7442" width="8.28515625" style="82" customWidth="1"/>
    <col min="7443" max="7445" width="7.5703125" style="82" customWidth="1"/>
    <col min="7446" max="7446" width="7.28515625" style="82" customWidth="1"/>
    <col min="7447" max="7447" width="7.85546875" style="82" customWidth="1"/>
    <col min="7448" max="7448" width="6.42578125" style="82" customWidth="1"/>
    <col min="7449" max="7449" width="6.5703125" style="82" customWidth="1"/>
    <col min="7450" max="7450" width="7.140625" style="82" customWidth="1"/>
    <col min="7451" max="7452" width="8.140625" style="82" customWidth="1"/>
    <col min="7453" max="7453" width="6.7109375" style="82" customWidth="1"/>
    <col min="7454" max="7454" width="7.28515625" style="82" customWidth="1"/>
    <col min="7455" max="7455" width="8" style="82" customWidth="1"/>
    <col min="7456" max="7456" width="7.5703125" style="82" customWidth="1"/>
    <col min="7457" max="7457" width="7.28515625" style="82" customWidth="1"/>
    <col min="7458" max="7458" width="7" style="82" customWidth="1"/>
    <col min="7459" max="7468" width="9.140625" style="82"/>
    <col min="7469" max="7471" width="7.7109375" style="82" customWidth="1"/>
    <col min="7472" max="7491" width="4.85546875" style="82" customWidth="1"/>
    <col min="7492" max="7681" width="9.140625" style="82"/>
    <col min="7682" max="7682" width="6.5703125" style="82" customWidth="1"/>
    <col min="7683" max="7683" width="5.7109375" style="82" customWidth="1"/>
    <col min="7684" max="7684" width="1.42578125" style="82" customWidth="1"/>
    <col min="7685" max="7685" width="5.28515625" style="82" customWidth="1"/>
    <col min="7686" max="7686" width="1" style="82" customWidth="1"/>
    <col min="7687" max="7687" width="2.140625" style="82" customWidth="1"/>
    <col min="7688" max="7688" width="1.42578125" style="82" customWidth="1"/>
    <col min="7689" max="7689" width="4" style="82" customWidth="1"/>
    <col min="7690" max="7690" width="13.5703125" style="82" customWidth="1"/>
    <col min="7691" max="7691" width="6" style="82" customWidth="1"/>
    <col min="7692" max="7692" width="6.7109375" style="82" customWidth="1"/>
    <col min="7693" max="7693" width="6.5703125" style="82" customWidth="1"/>
    <col min="7694" max="7694" width="7.5703125" style="82" customWidth="1"/>
    <col min="7695" max="7695" width="6.5703125" style="82" customWidth="1"/>
    <col min="7696" max="7696" width="7" style="82" customWidth="1"/>
    <col min="7697" max="7697" width="6.85546875" style="82" customWidth="1"/>
    <col min="7698" max="7698" width="8.28515625" style="82" customWidth="1"/>
    <col min="7699" max="7701" width="7.5703125" style="82" customWidth="1"/>
    <col min="7702" max="7702" width="7.28515625" style="82" customWidth="1"/>
    <col min="7703" max="7703" width="7.85546875" style="82" customWidth="1"/>
    <col min="7704" max="7704" width="6.42578125" style="82" customWidth="1"/>
    <col min="7705" max="7705" width="6.5703125" style="82" customWidth="1"/>
    <col min="7706" max="7706" width="7.140625" style="82" customWidth="1"/>
    <col min="7707" max="7708" width="8.140625" style="82" customWidth="1"/>
    <col min="7709" max="7709" width="6.7109375" style="82" customWidth="1"/>
    <col min="7710" max="7710" width="7.28515625" style="82" customWidth="1"/>
    <col min="7711" max="7711" width="8" style="82" customWidth="1"/>
    <col min="7712" max="7712" width="7.5703125" style="82" customWidth="1"/>
    <col min="7713" max="7713" width="7.28515625" style="82" customWidth="1"/>
    <col min="7714" max="7714" width="7" style="82" customWidth="1"/>
    <col min="7715" max="7724" width="9.140625" style="82"/>
    <col min="7725" max="7727" width="7.7109375" style="82" customWidth="1"/>
    <col min="7728" max="7747" width="4.85546875" style="82" customWidth="1"/>
    <col min="7748" max="7937" width="9.140625" style="82"/>
    <col min="7938" max="7938" width="6.5703125" style="82" customWidth="1"/>
    <col min="7939" max="7939" width="5.7109375" style="82" customWidth="1"/>
    <col min="7940" max="7940" width="1.42578125" style="82" customWidth="1"/>
    <col min="7941" max="7941" width="5.28515625" style="82" customWidth="1"/>
    <col min="7942" max="7942" width="1" style="82" customWidth="1"/>
    <col min="7943" max="7943" width="2.140625" style="82" customWidth="1"/>
    <col min="7944" max="7944" width="1.42578125" style="82" customWidth="1"/>
    <col min="7945" max="7945" width="4" style="82" customWidth="1"/>
    <col min="7946" max="7946" width="13.5703125" style="82" customWidth="1"/>
    <col min="7947" max="7947" width="6" style="82" customWidth="1"/>
    <col min="7948" max="7948" width="6.7109375" style="82" customWidth="1"/>
    <col min="7949" max="7949" width="6.5703125" style="82" customWidth="1"/>
    <col min="7950" max="7950" width="7.5703125" style="82" customWidth="1"/>
    <col min="7951" max="7951" width="6.5703125" style="82" customWidth="1"/>
    <col min="7952" max="7952" width="7" style="82" customWidth="1"/>
    <col min="7953" max="7953" width="6.85546875" style="82" customWidth="1"/>
    <col min="7954" max="7954" width="8.28515625" style="82" customWidth="1"/>
    <col min="7955" max="7957" width="7.5703125" style="82" customWidth="1"/>
    <col min="7958" max="7958" width="7.28515625" style="82" customWidth="1"/>
    <col min="7959" max="7959" width="7.85546875" style="82" customWidth="1"/>
    <col min="7960" max="7960" width="6.42578125" style="82" customWidth="1"/>
    <col min="7961" max="7961" width="6.5703125" style="82" customWidth="1"/>
    <col min="7962" max="7962" width="7.140625" style="82" customWidth="1"/>
    <col min="7963" max="7964" width="8.140625" style="82" customWidth="1"/>
    <col min="7965" max="7965" width="6.7109375" style="82" customWidth="1"/>
    <col min="7966" max="7966" width="7.28515625" style="82" customWidth="1"/>
    <col min="7967" max="7967" width="8" style="82" customWidth="1"/>
    <col min="7968" max="7968" width="7.5703125" style="82" customWidth="1"/>
    <col min="7969" max="7969" width="7.28515625" style="82" customWidth="1"/>
    <col min="7970" max="7970" width="7" style="82" customWidth="1"/>
    <col min="7971" max="7980" width="9.140625" style="82"/>
    <col min="7981" max="7983" width="7.7109375" style="82" customWidth="1"/>
    <col min="7984" max="8003" width="4.85546875" style="82" customWidth="1"/>
    <col min="8004" max="8193" width="9.140625" style="82"/>
    <col min="8194" max="8194" width="6.5703125" style="82" customWidth="1"/>
    <col min="8195" max="8195" width="5.7109375" style="82" customWidth="1"/>
    <col min="8196" max="8196" width="1.42578125" style="82" customWidth="1"/>
    <col min="8197" max="8197" width="5.28515625" style="82" customWidth="1"/>
    <col min="8198" max="8198" width="1" style="82" customWidth="1"/>
    <col min="8199" max="8199" width="2.140625" style="82" customWidth="1"/>
    <col min="8200" max="8200" width="1.42578125" style="82" customWidth="1"/>
    <col min="8201" max="8201" width="4" style="82" customWidth="1"/>
    <col min="8202" max="8202" width="13.5703125" style="82" customWidth="1"/>
    <col min="8203" max="8203" width="6" style="82" customWidth="1"/>
    <col min="8204" max="8204" width="6.7109375" style="82" customWidth="1"/>
    <col min="8205" max="8205" width="6.5703125" style="82" customWidth="1"/>
    <col min="8206" max="8206" width="7.5703125" style="82" customWidth="1"/>
    <col min="8207" max="8207" width="6.5703125" style="82" customWidth="1"/>
    <col min="8208" max="8208" width="7" style="82" customWidth="1"/>
    <col min="8209" max="8209" width="6.85546875" style="82" customWidth="1"/>
    <col min="8210" max="8210" width="8.28515625" style="82" customWidth="1"/>
    <col min="8211" max="8213" width="7.5703125" style="82" customWidth="1"/>
    <col min="8214" max="8214" width="7.28515625" style="82" customWidth="1"/>
    <col min="8215" max="8215" width="7.85546875" style="82" customWidth="1"/>
    <col min="8216" max="8216" width="6.42578125" style="82" customWidth="1"/>
    <col min="8217" max="8217" width="6.5703125" style="82" customWidth="1"/>
    <col min="8218" max="8218" width="7.140625" style="82" customWidth="1"/>
    <col min="8219" max="8220" width="8.140625" style="82" customWidth="1"/>
    <col min="8221" max="8221" width="6.7109375" style="82" customWidth="1"/>
    <col min="8222" max="8222" width="7.28515625" style="82" customWidth="1"/>
    <col min="8223" max="8223" width="8" style="82" customWidth="1"/>
    <col min="8224" max="8224" width="7.5703125" style="82" customWidth="1"/>
    <col min="8225" max="8225" width="7.28515625" style="82" customWidth="1"/>
    <col min="8226" max="8226" width="7" style="82" customWidth="1"/>
    <col min="8227" max="8236" width="9.140625" style="82"/>
    <col min="8237" max="8239" width="7.7109375" style="82" customWidth="1"/>
    <col min="8240" max="8259" width="4.85546875" style="82" customWidth="1"/>
    <col min="8260" max="8449" width="9.140625" style="82"/>
    <col min="8450" max="8450" width="6.5703125" style="82" customWidth="1"/>
    <col min="8451" max="8451" width="5.7109375" style="82" customWidth="1"/>
    <col min="8452" max="8452" width="1.42578125" style="82" customWidth="1"/>
    <col min="8453" max="8453" width="5.28515625" style="82" customWidth="1"/>
    <col min="8454" max="8454" width="1" style="82" customWidth="1"/>
    <col min="8455" max="8455" width="2.140625" style="82" customWidth="1"/>
    <col min="8456" max="8456" width="1.42578125" style="82" customWidth="1"/>
    <col min="8457" max="8457" width="4" style="82" customWidth="1"/>
    <col min="8458" max="8458" width="13.5703125" style="82" customWidth="1"/>
    <col min="8459" max="8459" width="6" style="82" customWidth="1"/>
    <col min="8460" max="8460" width="6.7109375" style="82" customWidth="1"/>
    <col min="8461" max="8461" width="6.5703125" style="82" customWidth="1"/>
    <col min="8462" max="8462" width="7.5703125" style="82" customWidth="1"/>
    <col min="8463" max="8463" width="6.5703125" style="82" customWidth="1"/>
    <col min="8464" max="8464" width="7" style="82" customWidth="1"/>
    <col min="8465" max="8465" width="6.85546875" style="82" customWidth="1"/>
    <col min="8466" max="8466" width="8.28515625" style="82" customWidth="1"/>
    <col min="8467" max="8469" width="7.5703125" style="82" customWidth="1"/>
    <col min="8470" max="8470" width="7.28515625" style="82" customWidth="1"/>
    <col min="8471" max="8471" width="7.85546875" style="82" customWidth="1"/>
    <col min="8472" max="8472" width="6.42578125" style="82" customWidth="1"/>
    <col min="8473" max="8473" width="6.5703125" style="82" customWidth="1"/>
    <col min="8474" max="8474" width="7.140625" style="82" customWidth="1"/>
    <col min="8475" max="8476" width="8.140625" style="82" customWidth="1"/>
    <col min="8477" max="8477" width="6.7109375" style="82" customWidth="1"/>
    <col min="8478" max="8478" width="7.28515625" style="82" customWidth="1"/>
    <col min="8479" max="8479" width="8" style="82" customWidth="1"/>
    <col min="8480" max="8480" width="7.5703125" style="82" customWidth="1"/>
    <col min="8481" max="8481" width="7.28515625" style="82" customWidth="1"/>
    <col min="8482" max="8482" width="7" style="82" customWidth="1"/>
    <col min="8483" max="8492" width="9.140625" style="82"/>
    <col min="8493" max="8495" width="7.7109375" style="82" customWidth="1"/>
    <col min="8496" max="8515" width="4.85546875" style="82" customWidth="1"/>
    <col min="8516" max="8705" width="9.140625" style="82"/>
    <col min="8706" max="8706" width="6.5703125" style="82" customWidth="1"/>
    <col min="8707" max="8707" width="5.7109375" style="82" customWidth="1"/>
    <col min="8708" max="8708" width="1.42578125" style="82" customWidth="1"/>
    <col min="8709" max="8709" width="5.28515625" style="82" customWidth="1"/>
    <col min="8710" max="8710" width="1" style="82" customWidth="1"/>
    <col min="8711" max="8711" width="2.140625" style="82" customWidth="1"/>
    <col min="8712" max="8712" width="1.42578125" style="82" customWidth="1"/>
    <col min="8713" max="8713" width="4" style="82" customWidth="1"/>
    <col min="8714" max="8714" width="13.5703125" style="82" customWidth="1"/>
    <col min="8715" max="8715" width="6" style="82" customWidth="1"/>
    <col min="8716" max="8716" width="6.7109375" style="82" customWidth="1"/>
    <col min="8717" max="8717" width="6.5703125" style="82" customWidth="1"/>
    <col min="8718" max="8718" width="7.5703125" style="82" customWidth="1"/>
    <col min="8719" max="8719" width="6.5703125" style="82" customWidth="1"/>
    <col min="8720" max="8720" width="7" style="82" customWidth="1"/>
    <col min="8721" max="8721" width="6.85546875" style="82" customWidth="1"/>
    <col min="8722" max="8722" width="8.28515625" style="82" customWidth="1"/>
    <col min="8723" max="8725" width="7.5703125" style="82" customWidth="1"/>
    <col min="8726" max="8726" width="7.28515625" style="82" customWidth="1"/>
    <col min="8727" max="8727" width="7.85546875" style="82" customWidth="1"/>
    <col min="8728" max="8728" width="6.42578125" style="82" customWidth="1"/>
    <col min="8729" max="8729" width="6.5703125" style="82" customWidth="1"/>
    <col min="8730" max="8730" width="7.140625" style="82" customWidth="1"/>
    <col min="8731" max="8732" width="8.140625" style="82" customWidth="1"/>
    <col min="8733" max="8733" width="6.7109375" style="82" customWidth="1"/>
    <col min="8734" max="8734" width="7.28515625" style="82" customWidth="1"/>
    <col min="8735" max="8735" width="8" style="82" customWidth="1"/>
    <col min="8736" max="8736" width="7.5703125" style="82" customWidth="1"/>
    <col min="8737" max="8737" width="7.28515625" style="82" customWidth="1"/>
    <col min="8738" max="8738" width="7" style="82" customWidth="1"/>
    <col min="8739" max="8748" width="9.140625" style="82"/>
    <col min="8749" max="8751" width="7.7109375" style="82" customWidth="1"/>
    <col min="8752" max="8771" width="4.85546875" style="82" customWidth="1"/>
    <col min="8772" max="8961" width="9.140625" style="82"/>
    <col min="8962" max="8962" width="6.5703125" style="82" customWidth="1"/>
    <col min="8963" max="8963" width="5.7109375" style="82" customWidth="1"/>
    <col min="8964" max="8964" width="1.42578125" style="82" customWidth="1"/>
    <col min="8965" max="8965" width="5.28515625" style="82" customWidth="1"/>
    <col min="8966" max="8966" width="1" style="82" customWidth="1"/>
    <col min="8967" max="8967" width="2.140625" style="82" customWidth="1"/>
    <col min="8968" max="8968" width="1.42578125" style="82" customWidth="1"/>
    <col min="8969" max="8969" width="4" style="82" customWidth="1"/>
    <col min="8970" max="8970" width="13.5703125" style="82" customWidth="1"/>
    <col min="8971" max="8971" width="6" style="82" customWidth="1"/>
    <col min="8972" max="8972" width="6.7109375" style="82" customWidth="1"/>
    <col min="8973" max="8973" width="6.5703125" style="82" customWidth="1"/>
    <col min="8974" max="8974" width="7.5703125" style="82" customWidth="1"/>
    <col min="8975" max="8975" width="6.5703125" style="82" customWidth="1"/>
    <col min="8976" max="8976" width="7" style="82" customWidth="1"/>
    <col min="8977" max="8977" width="6.85546875" style="82" customWidth="1"/>
    <col min="8978" max="8978" width="8.28515625" style="82" customWidth="1"/>
    <col min="8979" max="8981" width="7.5703125" style="82" customWidth="1"/>
    <col min="8982" max="8982" width="7.28515625" style="82" customWidth="1"/>
    <col min="8983" max="8983" width="7.85546875" style="82" customWidth="1"/>
    <col min="8984" max="8984" width="6.42578125" style="82" customWidth="1"/>
    <col min="8985" max="8985" width="6.5703125" style="82" customWidth="1"/>
    <col min="8986" max="8986" width="7.140625" style="82" customWidth="1"/>
    <col min="8987" max="8988" width="8.140625" style="82" customWidth="1"/>
    <col min="8989" max="8989" width="6.7109375" style="82" customWidth="1"/>
    <col min="8990" max="8990" width="7.28515625" style="82" customWidth="1"/>
    <col min="8991" max="8991" width="8" style="82" customWidth="1"/>
    <col min="8992" max="8992" width="7.5703125" style="82" customWidth="1"/>
    <col min="8993" max="8993" width="7.28515625" style="82" customWidth="1"/>
    <col min="8994" max="8994" width="7" style="82" customWidth="1"/>
    <col min="8995" max="9004" width="9.140625" style="82"/>
    <col min="9005" max="9007" width="7.7109375" style="82" customWidth="1"/>
    <col min="9008" max="9027" width="4.85546875" style="82" customWidth="1"/>
    <col min="9028" max="9217" width="9.140625" style="82"/>
    <col min="9218" max="9218" width="6.5703125" style="82" customWidth="1"/>
    <col min="9219" max="9219" width="5.7109375" style="82" customWidth="1"/>
    <col min="9220" max="9220" width="1.42578125" style="82" customWidth="1"/>
    <col min="9221" max="9221" width="5.28515625" style="82" customWidth="1"/>
    <col min="9222" max="9222" width="1" style="82" customWidth="1"/>
    <col min="9223" max="9223" width="2.140625" style="82" customWidth="1"/>
    <col min="9224" max="9224" width="1.42578125" style="82" customWidth="1"/>
    <col min="9225" max="9225" width="4" style="82" customWidth="1"/>
    <col min="9226" max="9226" width="13.5703125" style="82" customWidth="1"/>
    <col min="9227" max="9227" width="6" style="82" customWidth="1"/>
    <col min="9228" max="9228" width="6.7109375" style="82" customWidth="1"/>
    <col min="9229" max="9229" width="6.5703125" style="82" customWidth="1"/>
    <col min="9230" max="9230" width="7.5703125" style="82" customWidth="1"/>
    <col min="9231" max="9231" width="6.5703125" style="82" customWidth="1"/>
    <col min="9232" max="9232" width="7" style="82" customWidth="1"/>
    <col min="9233" max="9233" width="6.85546875" style="82" customWidth="1"/>
    <col min="9234" max="9234" width="8.28515625" style="82" customWidth="1"/>
    <col min="9235" max="9237" width="7.5703125" style="82" customWidth="1"/>
    <col min="9238" max="9238" width="7.28515625" style="82" customWidth="1"/>
    <col min="9239" max="9239" width="7.85546875" style="82" customWidth="1"/>
    <col min="9240" max="9240" width="6.42578125" style="82" customWidth="1"/>
    <col min="9241" max="9241" width="6.5703125" style="82" customWidth="1"/>
    <col min="9242" max="9242" width="7.140625" style="82" customWidth="1"/>
    <col min="9243" max="9244" width="8.140625" style="82" customWidth="1"/>
    <col min="9245" max="9245" width="6.7109375" style="82" customWidth="1"/>
    <col min="9246" max="9246" width="7.28515625" style="82" customWidth="1"/>
    <col min="9247" max="9247" width="8" style="82" customWidth="1"/>
    <col min="9248" max="9248" width="7.5703125" style="82" customWidth="1"/>
    <col min="9249" max="9249" width="7.28515625" style="82" customWidth="1"/>
    <col min="9250" max="9250" width="7" style="82" customWidth="1"/>
    <col min="9251" max="9260" width="9.140625" style="82"/>
    <col min="9261" max="9263" width="7.7109375" style="82" customWidth="1"/>
    <col min="9264" max="9283" width="4.85546875" style="82" customWidth="1"/>
    <col min="9284" max="9473" width="9.140625" style="82"/>
    <col min="9474" max="9474" width="6.5703125" style="82" customWidth="1"/>
    <col min="9475" max="9475" width="5.7109375" style="82" customWidth="1"/>
    <col min="9476" max="9476" width="1.42578125" style="82" customWidth="1"/>
    <col min="9477" max="9477" width="5.28515625" style="82" customWidth="1"/>
    <col min="9478" max="9478" width="1" style="82" customWidth="1"/>
    <col min="9479" max="9479" width="2.140625" style="82" customWidth="1"/>
    <col min="9480" max="9480" width="1.42578125" style="82" customWidth="1"/>
    <col min="9481" max="9481" width="4" style="82" customWidth="1"/>
    <col min="9482" max="9482" width="13.5703125" style="82" customWidth="1"/>
    <col min="9483" max="9483" width="6" style="82" customWidth="1"/>
    <col min="9484" max="9484" width="6.7109375" style="82" customWidth="1"/>
    <col min="9485" max="9485" width="6.5703125" style="82" customWidth="1"/>
    <col min="9486" max="9486" width="7.5703125" style="82" customWidth="1"/>
    <col min="9487" max="9487" width="6.5703125" style="82" customWidth="1"/>
    <col min="9488" max="9488" width="7" style="82" customWidth="1"/>
    <col min="9489" max="9489" width="6.85546875" style="82" customWidth="1"/>
    <col min="9490" max="9490" width="8.28515625" style="82" customWidth="1"/>
    <col min="9491" max="9493" width="7.5703125" style="82" customWidth="1"/>
    <col min="9494" max="9494" width="7.28515625" style="82" customWidth="1"/>
    <col min="9495" max="9495" width="7.85546875" style="82" customWidth="1"/>
    <col min="9496" max="9496" width="6.42578125" style="82" customWidth="1"/>
    <col min="9497" max="9497" width="6.5703125" style="82" customWidth="1"/>
    <col min="9498" max="9498" width="7.140625" style="82" customWidth="1"/>
    <col min="9499" max="9500" width="8.140625" style="82" customWidth="1"/>
    <col min="9501" max="9501" width="6.7109375" style="82" customWidth="1"/>
    <col min="9502" max="9502" width="7.28515625" style="82" customWidth="1"/>
    <col min="9503" max="9503" width="8" style="82" customWidth="1"/>
    <col min="9504" max="9504" width="7.5703125" style="82" customWidth="1"/>
    <col min="9505" max="9505" width="7.28515625" style="82" customWidth="1"/>
    <col min="9506" max="9506" width="7" style="82" customWidth="1"/>
    <col min="9507" max="9516" width="9.140625" style="82"/>
    <col min="9517" max="9519" width="7.7109375" style="82" customWidth="1"/>
    <col min="9520" max="9539" width="4.85546875" style="82" customWidth="1"/>
    <col min="9540" max="9729" width="9.140625" style="82"/>
    <col min="9730" max="9730" width="6.5703125" style="82" customWidth="1"/>
    <col min="9731" max="9731" width="5.7109375" style="82" customWidth="1"/>
    <col min="9732" max="9732" width="1.42578125" style="82" customWidth="1"/>
    <col min="9733" max="9733" width="5.28515625" style="82" customWidth="1"/>
    <col min="9734" max="9734" width="1" style="82" customWidth="1"/>
    <col min="9735" max="9735" width="2.140625" style="82" customWidth="1"/>
    <col min="9736" max="9736" width="1.42578125" style="82" customWidth="1"/>
    <col min="9737" max="9737" width="4" style="82" customWidth="1"/>
    <col min="9738" max="9738" width="13.5703125" style="82" customWidth="1"/>
    <col min="9739" max="9739" width="6" style="82" customWidth="1"/>
    <col min="9740" max="9740" width="6.7109375" style="82" customWidth="1"/>
    <col min="9741" max="9741" width="6.5703125" style="82" customWidth="1"/>
    <col min="9742" max="9742" width="7.5703125" style="82" customWidth="1"/>
    <col min="9743" max="9743" width="6.5703125" style="82" customWidth="1"/>
    <col min="9744" max="9744" width="7" style="82" customWidth="1"/>
    <col min="9745" max="9745" width="6.85546875" style="82" customWidth="1"/>
    <col min="9746" max="9746" width="8.28515625" style="82" customWidth="1"/>
    <col min="9747" max="9749" width="7.5703125" style="82" customWidth="1"/>
    <col min="9750" max="9750" width="7.28515625" style="82" customWidth="1"/>
    <col min="9751" max="9751" width="7.85546875" style="82" customWidth="1"/>
    <col min="9752" max="9752" width="6.42578125" style="82" customWidth="1"/>
    <col min="9753" max="9753" width="6.5703125" style="82" customWidth="1"/>
    <col min="9754" max="9754" width="7.140625" style="82" customWidth="1"/>
    <col min="9755" max="9756" width="8.140625" style="82" customWidth="1"/>
    <col min="9757" max="9757" width="6.7109375" style="82" customWidth="1"/>
    <col min="9758" max="9758" width="7.28515625" style="82" customWidth="1"/>
    <col min="9759" max="9759" width="8" style="82" customWidth="1"/>
    <col min="9760" max="9760" width="7.5703125" style="82" customWidth="1"/>
    <col min="9761" max="9761" width="7.28515625" style="82" customWidth="1"/>
    <col min="9762" max="9762" width="7" style="82" customWidth="1"/>
    <col min="9763" max="9772" width="9.140625" style="82"/>
    <col min="9773" max="9775" width="7.7109375" style="82" customWidth="1"/>
    <col min="9776" max="9795" width="4.85546875" style="82" customWidth="1"/>
    <col min="9796" max="9985" width="9.140625" style="82"/>
    <col min="9986" max="9986" width="6.5703125" style="82" customWidth="1"/>
    <col min="9987" max="9987" width="5.7109375" style="82" customWidth="1"/>
    <col min="9988" max="9988" width="1.42578125" style="82" customWidth="1"/>
    <col min="9989" max="9989" width="5.28515625" style="82" customWidth="1"/>
    <col min="9990" max="9990" width="1" style="82" customWidth="1"/>
    <col min="9991" max="9991" width="2.140625" style="82" customWidth="1"/>
    <col min="9992" max="9992" width="1.42578125" style="82" customWidth="1"/>
    <col min="9993" max="9993" width="4" style="82" customWidth="1"/>
    <col min="9994" max="9994" width="13.5703125" style="82" customWidth="1"/>
    <col min="9995" max="9995" width="6" style="82" customWidth="1"/>
    <col min="9996" max="9996" width="6.7109375" style="82" customWidth="1"/>
    <col min="9997" max="9997" width="6.5703125" style="82" customWidth="1"/>
    <col min="9998" max="9998" width="7.5703125" style="82" customWidth="1"/>
    <col min="9999" max="9999" width="6.5703125" style="82" customWidth="1"/>
    <col min="10000" max="10000" width="7" style="82" customWidth="1"/>
    <col min="10001" max="10001" width="6.85546875" style="82" customWidth="1"/>
    <col min="10002" max="10002" width="8.28515625" style="82" customWidth="1"/>
    <col min="10003" max="10005" width="7.5703125" style="82" customWidth="1"/>
    <col min="10006" max="10006" width="7.28515625" style="82" customWidth="1"/>
    <col min="10007" max="10007" width="7.85546875" style="82" customWidth="1"/>
    <col min="10008" max="10008" width="6.42578125" style="82" customWidth="1"/>
    <col min="10009" max="10009" width="6.5703125" style="82" customWidth="1"/>
    <col min="10010" max="10010" width="7.140625" style="82" customWidth="1"/>
    <col min="10011" max="10012" width="8.140625" style="82" customWidth="1"/>
    <col min="10013" max="10013" width="6.7109375" style="82" customWidth="1"/>
    <col min="10014" max="10014" width="7.28515625" style="82" customWidth="1"/>
    <col min="10015" max="10015" width="8" style="82" customWidth="1"/>
    <col min="10016" max="10016" width="7.5703125" style="82" customWidth="1"/>
    <col min="10017" max="10017" width="7.28515625" style="82" customWidth="1"/>
    <col min="10018" max="10018" width="7" style="82" customWidth="1"/>
    <col min="10019" max="10028" width="9.140625" style="82"/>
    <col min="10029" max="10031" width="7.7109375" style="82" customWidth="1"/>
    <col min="10032" max="10051" width="4.85546875" style="82" customWidth="1"/>
    <col min="10052" max="10241" width="9.140625" style="82"/>
    <col min="10242" max="10242" width="6.5703125" style="82" customWidth="1"/>
    <col min="10243" max="10243" width="5.7109375" style="82" customWidth="1"/>
    <col min="10244" max="10244" width="1.42578125" style="82" customWidth="1"/>
    <col min="10245" max="10245" width="5.28515625" style="82" customWidth="1"/>
    <col min="10246" max="10246" width="1" style="82" customWidth="1"/>
    <col min="10247" max="10247" width="2.140625" style="82" customWidth="1"/>
    <col min="10248" max="10248" width="1.42578125" style="82" customWidth="1"/>
    <col min="10249" max="10249" width="4" style="82" customWidth="1"/>
    <col min="10250" max="10250" width="13.5703125" style="82" customWidth="1"/>
    <col min="10251" max="10251" width="6" style="82" customWidth="1"/>
    <col min="10252" max="10252" width="6.7109375" style="82" customWidth="1"/>
    <col min="10253" max="10253" width="6.5703125" style="82" customWidth="1"/>
    <col min="10254" max="10254" width="7.5703125" style="82" customWidth="1"/>
    <col min="10255" max="10255" width="6.5703125" style="82" customWidth="1"/>
    <col min="10256" max="10256" width="7" style="82" customWidth="1"/>
    <col min="10257" max="10257" width="6.85546875" style="82" customWidth="1"/>
    <col min="10258" max="10258" width="8.28515625" style="82" customWidth="1"/>
    <col min="10259" max="10261" width="7.5703125" style="82" customWidth="1"/>
    <col min="10262" max="10262" width="7.28515625" style="82" customWidth="1"/>
    <col min="10263" max="10263" width="7.85546875" style="82" customWidth="1"/>
    <col min="10264" max="10264" width="6.42578125" style="82" customWidth="1"/>
    <col min="10265" max="10265" width="6.5703125" style="82" customWidth="1"/>
    <col min="10266" max="10266" width="7.140625" style="82" customWidth="1"/>
    <col min="10267" max="10268" width="8.140625" style="82" customWidth="1"/>
    <col min="10269" max="10269" width="6.7109375" style="82" customWidth="1"/>
    <col min="10270" max="10270" width="7.28515625" style="82" customWidth="1"/>
    <col min="10271" max="10271" width="8" style="82" customWidth="1"/>
    <col min="10272" max="10272" width="7.5703125" style="82" customWidth="1"/>
    <col min="10273" max="10273" width="7.28515625" style="82" customWidth="1"/>
    <col min="10274" max="10274" width="7" style="82" customWidth="1"/>
    <col min="10275" max="10284" width="9.140625" style="82"/>
    <col min="10285" max="10287" width="7.7109375" style="82" customWidth="1"/>
    <col min="10288" max="10307" width="4.85546875" style="82" customWidth="1"/>
    <col min="10308" max="10497" width="9.140625" style="82"/>
    <col min="10498" max="10498" width="6.5703125" style="82" customWidth="1"/>
    <col min="10499" max="10499" width="5.7109375" style="82" customWidth="1"/>
    <col min="10500" max="10500" width="1.42578125" style="82" customWidth="1"/>
    <col min="10501" max="10501" width="5.28515625" style="82" customWidth="1"/>
    <col min="10502" max="10502" width="1" style="82" customWidth="1"/>
    <col min="10503" max="10503" width="2.140625" style="82" customWidth="1"/>
    <col min="10504" max="10504" width="1.42578125" style="82" customWidth="1"/>
    <col min="10505" max="10505" width="4" style="82" customWidth="1"/>
    <col min="10506" max="10506" width="13.5703125" style="82" customWidth="1"/>
    <col min="10507" max="10507" width="6" style="82" customWidth="1"/>
    <col min="10508" max="10508" width="6.7109375" style="82" customWidth="1"/>
    <col min="10509" max="10509" width="6.5703125" style="82" customWidth="1"/>
    <col min="10510" max="10510" width="7.5703125" style="82" customWidth="1"/>
    <col min="10511" max="10511" width="6.5703125" style="82" customWidth="1"/>
    <col min="10512" max="10512" width="7" style="82" customWidth="1"/>
    <col min="10513" max="10513" width="6.85546875" style="82" customWidth="1"/>
    <col min="10514" max="10514" width="8.28515625" style="82" customWidth="1"/>
    <col min="10515" max="10517" width="7.5703125" style="82" customWidth="1"/>
    <col min="10518" max="10518" width="7.28515625" style="82" customWidth="1"/>
    <col min="10519" max="10519" width="7.85546875" style="82" customWidth="1"/>
    <col min="10520" max="10520" width="6.42578125" style="82" customWidth="1"/>
    <col min="10521" max="10521" width="6.5703125" style="82" customWidth="1"/>
    <col min="10522" max="10522" width="7.140625" style="82" customWidth="1"/>
    <col min="10523" max="10524" width="8.140625" style="82" customWidth="1"/>
    <col min="10525" max="10525" width="6.7109375" style="82" customWidth="1"/>
    <col min="10526" max="10526" width="7.28515625" style="82" customWidth="1"/>
    <col min="10527" max="10527" width="8" style="82" customWidth="1"/>
    <col min="10528" max="10528" width="7.5703125" style="82" customWidth="1"/>
    <col min="10529" max="10529" width="7.28515625" style="82" customWidth="1"/>
    <col min="10530" max="10530" width="7" style="82" customWidth="1"/>
    <col min="10531" max="10540" width="9.140625" style="82"/>
    <col min="10541" max="10543" width="7.7109375" style="82" customWidth="1"/>
    <col min="10544" max="10563" width="4.85546875" style="82" customWidth="1"/>
    <col min="10564" max="10753" width="9.140625" style="82"/>
    <col min="10754" max="10754" width="6.5703125" style="82" customWidth="1"/>
    <col min="10755" max="10755" width="5.7109375" style="82" customWidth="1"/>
    <col min="10756" max="10756" width="1.42578125" style="82" customWidth="1"/>
    <col min="10757" max="10757" width="5.28515625" style="82" customWidth="1"/>
    <col min="10758" max="10758" width="1" style="82" customWidth="1"/>
    <col min="10759" max="10759" width="2.140625" style="82" customWidth="1"/>
    <col min="10760" max="10760" width="1.42578125" style="82" customWidth="1"/>
    <col min="10761" max="10761" width="4" style="82" customWidth="1"/>
    <col min="10762" max="10762" width="13.5703125" style="82" customWidth="1"/>
    <col min="10763" max="10763" width="6" style="82" customWidth="1"/>
    <col min="10764" max="10764" width="6.7109375" style="82" customWidth="1"/>
    <col min="10765" max="10765" width="6.5703125" style="82" customWidth="1"/>
    <col min="10766" max="10766" width="7.5703125" style="82" customWidth="1"/>
    <col min="10767" max="10767" width="6.5703125" style="82" customWidth="1"/>
    <col min="10768" max="10768" width="7" style="82" customWidth="1"/>
    <col min="10769" max="10769" width="6.85546875" style="82" customWidth="1"/>
    <col min="10770" max="10770" width="8.28515625" style="82" customWidth="1"/>
    <col min="10771" max="10773" width="7.5703125" style="82" customWidth="1"/>
    <col min="10774" max="10774" width="7.28515625" style="82" customWidth="1"/>
    <col min="10775" max="10775" width="7.85546875" style="82" customWidth="1"/>
    <col min="10776" max="10776" width="6.42578125" style="82" customWidth="1"/>
    <col min="10777" max="10777" width="6.5703125" style="82" customWidth="1"/>
    <col min="10778" max="10778" width="7.140625" style="82" customWidth="1"/>
    <col min="10779" max="10780" width="8.140625" style="82" customWidth="1"/>
    <col min="10781" max="10781" width="6.7109375" style="82" customWidth="1"/>
    <col min="10782" max="10782" width="7.28515625" style="82" customWidth="1"/>
    <col min="10783" max="10783" width="8" style="82" customWidth="1"/>
    <col min="10784" max="10784" width="7.5703125" style="82" customWidth="1"/>
    <col min="10785" max="10785" width="7.28515625" style="82" customWidth="1"/>
    <col min="10786" max="10786" width="7" style="82" customWidth="1"/>
    <col min="10787" max="10796" width="9.140625" style="82"/>
    <col min="10797" max="10799" width="7.7109375" style="82" customWidth="1"/>
    <col min="10800" max="10819" width="4.85546875" style="82" customWidth="1"/>
    <col min="10820" max="11009" width="9.140625" style="82"/>
    <col min="11010" max="11010" width="6.5703125" style="82" customWidth="1"/>
    <col min="11011" max="11011" width="5.7109375" style="82" customWidth="1"/>
    <col min="11012" max="11012" width="1.42578125" style="82" customWidth="1"/>
    <col min="11013" max="11013" width="5.28515625" style="82" customWidth="1"/>
    <col min="11014" max="11014" width="1" style="82" customWidth="1"/>
    <col min="11015" max="11015" width="2.140625" style="82" customWidth="1"/>
    <col min="11016" max="11016" width="1.42578125" style="82" customWidth="1"/>
    <col min="11017" max="11017" width="4" style="82" customWidth="1"/>
    <col min="11018" max="11018" width="13.5703125" style="82" customWidth="1"/>
    <col min="11019" max="11019" width="6" style="82" customWidth="1"/>
    <col min="11020" max="11020" width="6.7109375" style="82" customWidth="1"/>
    <col min="11021" max="11021" width="6.5703125" style="82" customWidth="1"/>
    <col min="11022" max="11022" width="7.5703125" style="82" customWidth="1"/>
    <col min="11023" max="11023" width="6.5703125" style="82" customWidth="1"/>
    <col min="11024" max="11024" width="7" style="82" customWidth="1"/>
    <col min="11025" max="11025" width="6.85546875" style="82" customWidth="1"/>
    <col min="11026" max="11026" width="8.28515625" style="82" customWidth="1"/>
    <col min="11027" max="11029" width="7.5703125" style="82" customWidth="1"/>
    <col min="11030" max="11030" width="7.28515625" style="82" customWidth="1"/>
    <col min="11031" max="11031" width="7.85546875" style="82" customWidth="1"/>
    <col min="11032" max="11032" width="6.42578125" style="82" customWidth="1"/>
    <col min="11033" max="11033" width="6.5703125" style="82" customWidth="1"/>
    <col min="11034" max="11034" width="7.140625" style="82" customWidth="1"/>
    <col min="11035" max="11036" width="8.140625" style="82" customWidth="1"/>
    <col min="11037" max="11037" width="6.7109375" style="82" customWidth="1"/>
    <col min="11038" max="11038" width="7.28515625" style="82" customWidth="1"/>
    <col min="11039" max="11039" width="8" style="82" customWidth="1"/>
    <col min="11040" max="11040" width="7.5703125" style="82" customWidth="1"/>
    <col min="11041" max="11041" width="7.28515625" style="82" customWidth="1"/>
    <col min="11042" max="11042" width="7" style="82" customWidth="1"/>
    <col min="11043" max="11052" width="9.140625" style="82"/>
    <col min="11053" max="11055" width="7.7109375" style="82" customWidth="1"/>
    <col min="11056" max="11075" width="4.85546875" style="82" customWidth="1"/>
    <col min="11076" max="11265" width="9.140625" style="82"/>
    <col min="11266" max="11266" width="6.5703125" style="82" customWidth="1"/>
    <col min="11267" max="11267" width="5.7109375" style="82" customWidth="1"/>
    <col min="11268" max="11268" width="1.42578125" style="82" customWidth="1"/>
    <col min="11269" max="11269" width="5.28515625" style="82" customWidth="1"/>
    <col min="11270" max="11270" width="1" style="82" customWidth="1"/>
    <col min="11271" max="11271" width="2.140625" style="82" customWidth="1"/>
    <col min="11272" max="11272" width="1.42578125" style="82" customWidth="1"/>
    <col min="11273" max="11273" width="4" style="82" customWidth="1"/>
    <col min="11274" max="11274" width="13.5703125" style="82" customWidth="1"/>
    <col min="11275" max="11275" width="6" style="82" customWidth="1"/>
    <col min="11276" max="11276" width="6.7109375" style="82" customWidth="1"/>
    <col min="11277" max="11277" width="6.5703125" style="82" customWidth="1"/>
    <col min="11278" max="11278" width="7.5703125" style="82" customWidth="1"/>
    <col min="11279" max="11279" width="6.5703125" style="82" customWidth="1"/>
    <col min="11280" max="11280" width="7" style="82" customWidth="1"/>
    <col min="11281" max="11281" width="6.85546875" style="82" customWidth="1"/>
    <col min="11282" max="11282" width="8.28515625" style="82" customWidth="1"/>
    <col min="11283" max="11285" width="7.5703125" style="82" customWidth="1"/>
    <col min="11286" max="11286" width="7.28515625" style="82" customWidth="1"/>
    <col min="11287" max="11287" width="7.85546875" style="82" customWidth="1"/>
    <col min="11288" max="11288" width="6.42578125" style="82" customWidth="1"/>
    <col min="11289" max="11289" width="6.5703125" style="82" customWidth="1"/>
    <col min="11290" max="11290" width="7.140625" style="82" customWidth="1"/>
    <col min="11291" max="11292" width="8.140625" style="82" customWidth="1"/>
    <col min="11293" max="11293" width="6.7109375" style="82" customWidth="1"/>
    <col min="11294" max="11294" width="7.28515625" style="82" customWidth="1"/>
    <col min="11295" max="11295" width="8" style="82" customWidth="1"/>
    <col min="11296" max="11296" width="7.5703125" style="82" customWidth="1"/>
    <col min="11297" max="11297" width="7.28515625" style="82" customWidth="1"/>
    <col min="11298" max="11298" width="7" style="82" customWidth="1"/>
    <col min="11299" max="11308" width="9.140625" style="82"/>
    <col min="11309" max="11311" width="7.7109375" style="82" customWidth="1"/>
    <col min="11312" max="11331" width="4.85546875" style="82" customWidth="1"/>
    <col min="11332" max="11521" width="9.140625" style="82"/>
    <col min="11522" max="11522" width="6.5703125" style="82" customWidth="1"/>
    <col min="11523" max="11523" width="5.7109375" style="82" customWidth="1"/>
    <col min="11524" max="11524" width="1.42578125" style="82" customWidth="1"/>
    <col min="11525" max="11525" width="5.28515625" style="82" customWidth="1"/>
    <col min="11526" max="11526" width="1" style="82" customWidth="1"/>
    <col min="11527" max="11527" width="2.140625" style="82" customWidth="1"/>
    <col min="11528" max="11528" width="1.42578125" style="82" customWidth="1"/>
    <col min="11529" max="11529" width="4" style="82" customWidth="1"/>
    <col min="11530" max="11530" width="13.5703125" style="82" customWidth="1"/>
    <col min="11531" max="11531" width="6" style="82" customWidth="1"/>
    <col min="11532" max="11532" width="6.7109375" style="82" customWidth="1"/>
    <col min="11533" max="11533" width="6.5703125" style="82" customWidth="1"/>
    <col min="11534" max="11534" width="7.5703125" style="82" customWidth="1"/>
    <col min="11535" max="11535" width="6.5703125" style="82" customWidth="1"/>
    <col min="11536" max="11536" width="7" style="82" customWidth="1"/>
    <col min="11537" max="11537" width="6.85546875" style="82" customWidth="1"/>
    <col min="11538" max="11538" width="8.28515625" style="82" customWidth="1"/>
    <col min="11539" max="11541" width="7.5703125" style="82" customWidth="1"/>
    <col min="11542" max="11542" width="7.28515625" style="82" customWidth="1"/>
    <col min="11543" max="11543" width="7.85546875" style="82" customWidth="1"/>
    <col min="11544" max="11544" width="6.42578125" style="82" customWidth="1"/>
    <col min="11545" max="11545" width="6.5703125" style="82" customWidth="1"/>
    <col min="11546" max="11546" width="7.140625" style="82" customWidth="1"/>
    <col min="11547" max="11548" width="8.140625" style="82" customWidth="1"/>
    <col min="11549" max="11549" width="6.7109375" style="82" customWidth="1"/>
    <col min="11550" max="11550" width="7.28515625" style="82" customWidth="1"/>
    <col min="11551" max="11551" width="8" style="82" customWidth="1"/>
    <col min="11552" max="11552" width="7.5703125" style="82" customWidth="1"/>
    <col min="11553" max="11553" width="7.28515625" style="82" customWidth="1"/>
    <col min="11554" max="11554" width="7" style="82" customWidth="1"/>
    <col min="11555" max="11564" width="9.140625" style="82"/>
    <col min="11565" max="11567" width="7.7109375" style="82" customWidth="1"/>
    <col min="11568" max="11587" width="4.85546875" style="82" customWidth="1"/>
    <col min="11588" max="11777" width="9.140625" style="82"/>
    <col min="11778" max="11778" width="6.5703125" style="82" customWidth="1"/>
    <col min="11779" max="11779" width="5.7109375" style="82" customWidth="1"/>
    <col min="11780" max="11780" width="1.42578125" style="82" customWidth="1"/>
    <col min="11781" max="11781" width="5.28515625" style="82" customWidth="1"/>
    <col min="11782" max="11782" width="1" style="82" customWidth="1"/>
    <col min="11783" max="11783" width="2.140625" style="82" customWidth="1"/>
    <col min="11784" max="11784" width="1.42578125" style="82" customWidth="1"/>
    <col min="11785" max="11785" width="4" style="82" customWidth="1"/>
    <col min="11786" max="11786" width="13.5703125" style="82" customWidth="1"/>
    <col min="11787" max="11787" width="6" style="82" customWidth="1"/>
    <col min="11788" max="11788" width="6.7109375" style="82" customWidth="1"/>
    <col min="11789" max="11789" width="6.5703125" style="82" customWidth="1"/>
    <col min="11790" max="11790" width="7.5703125" style="82" customWidth="1"/>
    <col min="11791" max="11791" width="6.5703125" style="82" customWidth="1"/>
    <col min="11792" max="11792" width="7" style="82" customWidth="1"/>
    <col min="11793" max="11793" width="6.85546875" style="82" customWidth="1"/>
    <col min="11794" max="11794" width="8.28515625" style="82" customWidth="1"/>
    <col min="11795" max="11797" width="7.5703125" style="82" customWidth="1"/>
    <col min="11798" max="11798" width="7.28515625" style="82" customWidth="1"/>
    <col min="11799" max="11799" width="7.85546875" style="82" customWidth="1"/>
    <col min="11800" max="11800" width="6.42578125" style="82" customWidth="1"/>
    <col min="11801" max="11801" width="6.5703125" style="82" customWidth="1"/>
    <col min="11802" max="11802" width="7.140625" style="82" customWidth="1"/>
    <col min="11803" max="11804" width="8.140625" style="82" customWidth="1"/>
    <col min="11805" max="11805" width="6.7109375" style="82" customWidth="1"/>
    <col min="11806" max="11806" width="7.28515625" style="82" customWidth="1"/>
    <col min="11807" max="11807" width="8" style="82" customWidth="1"/>
    <col min="11808" max="11808" width="7.5703125" style="82" customWidth="1"/>
    <col min="11809" max="11809" width="7.28515625" style="82" customWidth="1"/>
    <col min="11810" max="11810" width="7" style="82" customWidth="1"/>
    <col min="11811" max="11820" width="9.140625" style="82"/>
    <col min="11821" max="11823" width="7.7109375" style="82" customWidth="1"/>
    <col min="11824" max="11843" width="4.85546875" style="82" customWidth="1"/>
    <col min="11844" max="12033" width="9.140625" style="82"/>
    <col min="12034" max="12034" width="6.5703125" style="82" customWidth="1"/>
    <col min="12035" max="12035" width="5.7109375" style="82" customWidth="1"/>
    <col min="12036" max="12036" width="1.42578125" style="82" customWidth="1"/>
    <col min="12037" max="12037" width="5.28515625" style="82" customWidth="1"/>
    <col min="12038" max="12038" width="1" style="82" customWidth="1"/>
    <col min="12039" max="12039" width="2.140625" style="82" customWidth="1"/>
    <col min="12040" max="12040" width="1.42578125" style="82" customWidth="1"/>
    <col min="12041" max="12041" width="4" style="82" customWidth="1"/>
    <col min="12042" max="12042" width="13.5703125" style="82" customWidth="1"/>
    <col min="12043" max="12043" width="6" style="82" customWidth="1"/>
    <col min="12044" max="12044" width="6.7109375" style="82" customWidth="1"/>
    <col min="12045" max="12045" width="6.5703125" style="82" customWidth="1"/>
    <col min="12046" max="12046" width="7.5703125" style="82" customWidth="1"/>
    <col min="12047" max="12047" width="6.5703125" style="82" customWidth="1"/>
    <col min="12048" max="12048" width="7" style="82" customWidth="1"/>
    <col min="12049" max="12049" width="6.85546875" style="82" customWidth="1"/>
    <col min="12050" max="12050" width="8.28515625" style="82" customWidth="1"/>
    <col min="12051" max="12053" width="7.5703125" style="82" customWidth="1"/>
    <col min="12054" max="12054" width="7.28515625" style="82" customWidth="1"/>
    <col min="12055" max="12055" width="7.85546875" style="82" customWidth="1"/>
    <col min="12056" max="12056" width="6.42578125" style="82" customWidth="1"/>
    <col min="12057" max="12057" width="6.5703125" style="82" customWidth="1"/>
    <col min="12058" max="12058" width="7.140625" style="82" customWidth="1"/>
    <col min="12059" max="12060" width="8.140625" style="82" customWidth="1"/>
    <col min="12061" max="12061" width="6.7109375" style="82" customWidth="1"/>
    <col min="12062" max="12062" width="7.28515625" style="82" customWidth="1"/>
    <col min="12063" max="12063" width="8" style="82" customWidth="1"/>
    <col min="12064" max="12064" width="7.5703125" style="82" customWidth="1"/>
    <col min="12065" max="12065" width="7.28515625" style="82" customWidth="1"/>
    <col min="12066" max="12066" width="7" style="82" customWidth="1"/>
    <col min="12067" max="12076" width="9.140625" style="82"/>
    <col min="12077" max="12079" width="7.7109375" style="82" customWidth="1"/>
    <col min="12080" max="12099" width="4.85546875" style="82" customWidth="1"/>
    <col min="12100" max="12289" width="9.140625" style="82"/>
    <col min="12290" max="12290" width="6.5703125" style="82" customWidth="1"/>
    <col min="12291" max="12291" width="5.7109375" style="82" customWidth="1"/>
    <col min="12292" max="12292" width="1.42578125" style="82" customWidth="1"/>
    <col min="12293" max="12293" width="5.28515625" style="82" customWidth="1"/>
    <col min="12294" max="12294" width="1" style="82" customWidth="1"/>
    <col min="12295" max="12295" width="2.140625" style="82" customWidth="1"/>
    <col min="12296" max="12296" width="1.42578125" style="82" customWidth="1"/>
    <col min="12297" max="12297" width="4" style="82" customWidth="1"/>
    <col min="12298" max="12298" width="13.5703125" style="82" customWidth="1"/>
    <col min="12299" max="12299" width="6" style="82" customWidth="1"/>
    <col min="12300" max="12300" width="6.7109375" style="82" customWidth="1"/>
    <col min="12301" max="12301" width="6.5703125" style="82" customWidth="1"/>
    <col min="12302" max="12302" width="7.5703125" style="82" customWidth="1"/>
    <col min="12303" max="12303" width="6.5703125" style="82" customWidth="1"/>
    <col min="12304" max="12304" width="7" style="82" customWidth="1"/>
    <col min="12305" max="12305" width="6.85546875" style="82" customWidth="1"/>
    <col min="12306" max="12306" width="8.28515625" style="82" customWidth="1"/>
    <col min="12307" max="12309" width="7.5703125" style="82" customWidth="1"/>
    <col min="12310" max="12310" width="7.28515625" style="82" customWidth="1"/>
    <col min="12311" max="12311" width="7.85546875" style="82" customWidth="1"/>
    <col min="12312" max="12312" width="6.42578125" style="82" customWidth="1"/>
    <col min="12313" max="12313" width="6.5703125" style="82" customWidth="1"/>
    <col min="12314" max="12314" width="7.140625" style="82" customWidth="1"/>
    <col min="12315" max="12316" width="8.140625" style="82" customWidth="1"/>
    <col min="12317" max="12317" width="6.7109375" style="82" customWidth="1"/>
    <col min="12318" max="12318" width="7.28515625" style="82" customWidth="1"/>
    <col min="12319" max="12319" width="8" style="82" customWidth="1"/>
    <col min="12320" max="12320" width="7.5703125" style="82" customWidth="1"/>
    <col min="12321" max="12321" width="7.28515625" style="82" customWidth="1"/>
    <col min="12322" max="12322" width="7" style="82" customWidth="1"/>
    <col min="12323" max="12332" width="9.140625" style="82"/>
    <col min="12333" max="12335" width="7.7109375" style="82" customWidth="1"/>
    <col min="12336" max="12355" width="4.85546875" style="82" customWidth="1"/>
    <col min="12356" max="12545" width="9.140625" style="82"/>
    <col min="12546" max="12546" width="6.5703125" style="82" customWidth="1"/>
    <col min="12547" max="12547" width="5.7109375" style="82" customWidth="1"/>
    <col min="12548" max="12548" width="1.42578125" style="82" customWidth="1"/>
    <col min="12549" max="12549" width="5.28515625" style="82" customWidth="1"/>
    <col min="12550" max="12550" width="1" style="82" customWidth="1"/>
    <col min="12551" max="12551" width="2.140625" style="82" customWidth="1"/>
    <col min="12552" max="12552" width="1.42578125" style="82" customWidth="1"/>
    <col min="12553" max="12553" width="4" style="82" customWidth="1"/>
    <col min="12554" max="12554" width="13.5703125" style="82" customWidth="1"/>
    <col min="12555" max="12555" width="6" style="82" customWidth="1"/>
    <col min="12556" max="12556" width="6.7109375" style="82" customWidth="1"/>
    <col min="12557" max="12557" width="6.5703125" style="82" customWidth="1"/>
    <col min="12558" max="12558" width="7.5703125" style="82" customWidth="1"/>
    <col min="12559" max="12559" width="6.5703125" style="82" customWidth="1"/>
    <col min="12560" max="12560" width="7" style="82" customWidth="1"/>
    <col min="12561" max="12561" width="6.85546875" style="82" customWidth="1"/>
    <col min="12562" max="12562" width="8.28515625" style="82" customWidth="1"/>
    <col min="12563" max="12565" width="7.5703125" style="82" customWidth="1"/>
    <col min="12566" max="12566" width="7.28515625" style="82" customWidth="1"/>
    <col min="12567" max="12567" width="7.85546875" style="82" customWidth="1"/>
    <col min="12568" max="12568" width="6.42578125" style="82" customWidth="1"/>
    <col min="12569" max="12569" width="6.5703125" style="82" customWidth="1"/>
    <col min="12570" max="12570" width="7.140625" style="82" customWidth="1"/>
    <col min="12571" max="12572" width="8.140625" style="82" customWidth="1"/>
    <col min="12573" max="12573" width="6.7109375" style="82" customWidth="1"/>
    <col min="12574" max="12574" width="7.28515625" style="82" customWidth="1"/>
    <col min="12575" max="12575" width="8" style="82" customWidth="1"/>
    <col min="12576" max="12576" width="7.5703125" style="82" customWidth="1"/>
    <col min="12577" max="12577" width="7.28515625" style="82" customWidth="1"/>
    <col min="12578" max="12578" width="7" style="82" customWidth="1"/>
    <col min="12579" max="12588" width="9.140625" style="82"/>
    <col min="12589" max="12591" width="7.7109375" style="82" customWidth="1"/>
    <col min="12592" max="12611" width="4.85546875" style="82" customWidth="1"/>
    <col min="12612" max="12801" width="9.140625" style="82"/>
    <col min="12802" max="12802" width="6.5703125" style="82" customWidth="1"/>
    <col min="12803" max="12803" width="5.7109375" style="82" customWidth="1"/>
    <col min="12804" max="12804" width="1.42578125" style="82" customWidth="1"/>
    <col min="12805" max="12805" width="5.28515625" style="82" customWidth="1"/>
    <col min="12806" max="12806" width="1" style="82" customWidth="1"/>
    <col min="12807" max="12807" width="2.140625" style="82" customWidth="1"/>
    <col min="12808" max="12808" width="1.42578125" style="82" customWidth="1"/>
    <col min="12809" max="12809" width="4" style="82" customWidth="1"/>
    <col min="12810" max="12810" width="13.5703125" style="82" customWidth="1"/>
    <col min="12811" max="12811" width="6" style="82" customWidth="1"/>
    <col min="12812" max="12812" width="6.7109375" style="82" customWidth="1"/>
    <col min="12813" max="12813" width="6.5703125" style="82" customWidth="1"/>
    <col min="12814" max="12814" width="7.5703125" style="82" customWidth="1"/>
    <col min="12815" max="12815" width="6.5703125" style="82" customWidth="1"/>
    <col min="12816" max="12816" width="7" style="82" customWidth="1"/>
    <col min="12817" max="12817" width="6.85546875" style="82" customWidth="1"/>
    <col min="12818" max="12818" width="8.28515625" style="82" customWidth="1"/>
    <col min="12819" max="12821" width="7.5703125" style="82" customWidth="1"/>
    <col min="12822" max="12822" width="7.28515625" style="82" customWidth="1"/>
    <col min="12823" max="12823" width="7.85546875" style="82" customWidth="1"/>
    <col min="12824" max="12824" width="6.42578125" style="82" customWidth="1"/>
    <col min="12825" max="12825" width="6.5703125" style="82" customWidth="1"/>
    <col min="12826" max="12826" width="7.140625" style="82" customWidth="1"/>
    <col min="12827" max="12828" width="8.140625" style="82" customWidth="1"/>
    <col min="12829" max="12829" width="6.7109375" style="82" customWidth="1"/>
    <col min="12830" max="12830" width="7.28515625" style="82" customWidth="1"/>
    <col min="12831" max="12831" width="8" style="82" customWidth="1"/>
    <col min="12832" max="12832" width="7.5703125" style="82" customWidth="1"/>
    <col min="12833" max="12833" width="7.28515625" style="82" customWidth="1"/>
    <col min="12834" max="12834" width="7" style="82" customWidth="1"/>
    <col min="12835" max="12844" width="9.140625" style="82"/>
    <col min="12845" max="12847" width="7.7109375" style="82" customWidth="1"/>
    <col min="12848" max="12867" width="4.85546875" style="82" customWidth="1"/>
    <col min="12868" max="13057" width="9.140625" style="82"/>
    <col min="13058" max="13058" width="6.5703125" style="82" customWidth="1"/>
    <col min="13059" max="13059" width="5.7109375" style="82" customWidth="1"/>
    <col min="13060" max="13060" width="1.42578125" style="82" customWidth="1"/>
    <col min="13061" max="13061" width="5.28515625" style="82" customWidth="1"/>
    <col min="13062" max="13062" width="1" style="82" customWidth="1"/>
    <col min="13063" max="13063" width="2.140625" style="82" customWidth="1"/>
    <col min="13064" max="13064" width="1.42578125" style="82" customWidth="1"/>
    <col min="13065" max="13065" width="4" style="82" customWidth="1"/>
    <col min="13066" max="13066" width="13.5703125" style="82" customWidth="1"/>
    <col min="13067" max="13067" width="6" style="82" customWidth="1"/>
    <col min="13068" max="13068" width="6.7109375" style="82" customWidth="1"/>
    <col min="13069" max="13069" width="6.5703125" style="82" customWidth="1"/>
    <col min="13070" max="13070" width="7.5703125" style="82" customWidth="1"/>
    <col min="13071" max="13071" width="6.5703125" style="82" customWidth="1"/>
    <col min="13072" max="13072" width="7" style="82" customWidth="1"/>
    <col min="13073" max="13073" width="6.85546875" style="82" customWidth="1"/>
    <col min="13074" max="13074" width="8.28515625" style="82" customWidth="1"/>
    <col min="13075" max="13077" width="7.5703125" style="82" customWidth="1"/>
    <col min="13078" max="13078" width="7.28515625" style="82" customWidth="1"/>
    <col min="13079" max="13079" width="7.85546875" style="82" customWidth="1"/>
    <col min="13080" max="13080" width="6.42578125" style="82" customWidth="1"/>
    <col min="13081" max="13081" width="6.5703125" style="82" customWidth="1"/>
    <col min="13082" max="13082" width="7.140625" style="82" customWidth="1"/>
    <col min="13083" max="13084" width="8.140625" style="82" customWidth="1"/>
    <col min="13085" max="13085" width="6.7109375" style="82" customWidth="1"/>
    <col min="13086" max="13086" width="7.28515625" style="82" customWidth="1"/>
    <col min="13087" max="13087" width="8" style="82" customWidth="1"/>
    <col min="13088" max="13088" width="7.5703125" style="82" customWidth="1"/>
    <col min="13089" max="13089" width="7.28515625" style="82" customWidth="1"/>
    <col min="13090" max="13090" width="7" style="82" customWidth="1"/>
    <col min="13091" max="13100" width="9.140625" style="82"/>
    <col min="13101" max="13103" width="7.7109375" style="82" customWidth="1"/>
    <col min="13104" max="13123" width="4.85546875" style="82" customWidth="1"/>
    <col min="13124" max="13313" width="9.140625" style="82"/>
    <col min="13314" max="13314" width="6.5703125" style="82" customWidth="1"/>
    <col min="13315" max="13315" width="5.7109375" style="82" customWidth="1"/>
    <col min="13316" max="13316" width="1.42578125" style="82" customWidth="1"/>
    <col min="13317" max="13317" width="5.28515625" style="82" customWidth="1"/>
    <col min="13318" max="13318" width="1" style="82" customWidth="1"/>
    <col min="13319" max="13319" width="2.140625" style="82" customWidth="1"/>
    <col min="13320" max="13320" width="1.42578125" style="82" customWidth="1"/>
    <col min="13321" max="13321" width="4" style="82" customWidth="1"/>
    <col min="13322" max="13322" width="13.5703125" style="82" customWidth="1"/>
    <col min="13323" max="13323" width="6" style="82" customWidth="1"/>
    <col min="13324" max="13324" width="6.7109375" style="82" customWidth="1"/>
    <col min="13325" max="13325" width="6.5703125" style="82" customWidth="1"/>
    <col min="13326" max="13326" width="7.5703125" style="82" customWidth="1"/>
    <col min="13327" max="13327" width="6.5703125" style="82" customWidth="1"/>
    <col min="13328" max="13328" width="7" style="82" customWidth="1"/>
    <col min="13329" max="13329" width="6.85546875" style="82" customWidth="1"/>
    <col min="13330" max="13330" width="8.28515625" style="82" customWidth="1"/>
    <col min="13331" max="13333" width="7.5703125" style="82" customWidth="1"/>
    <col min="13334" max="13334" width="7.28515625" style="82" customWidth="1"/>
    <col min="13335" max="13335" width="7.85546875" style="82" customWidth="1"/>
    <col min="13336" max="13336" width="6.42578125" style="82" customWidth="1"/>
    <col min="13337" max="13337" width="6.5703125" style="82" customWidth="1"/>
    <col min="13338" max="13338" width="7.140625" style="82" customWidth="1"/>
    <col min="13339" max="13340" width="8.140625" style="82" customWidth="1"/>
    <col min="13341" max="13341" width="6.7109375" style="82" customWidth="1"/>
    <col min="13342" max="13342" width="7.28515625" style="82" customWidth="1"/>
    <col min="13343" max="13343" width="8" style="82" customWidth="1"/>
    <col min="13344" max="13344" width="7.5703125" style="82" customWidth="1"/>
    <col min="13345" max="13345" width="7.28515625" style="82" customWidth="1"/>
    <col min="13346" max="13346" width="7" style="82" customWidth="1"/>
    <col min="13347" max="13356" width="9.140625" style="82"/>
    <col min="13357" max="13359" width="7.7109375" style="82" customWidth="1"/>
    <col min="13360" max="13379" width="4.85546875" style="82" customWidth="1"/>
    <col min="13380" max="13569" width="9.140625" style="82"/>
    <col min="13570" max="13570" width="6.5703125" style="82" customWidth="1"/>
    <col min="13571" max="13571" width="5.7109375" style="82" customWidth="1"/>
    <col min="13572" max="13572" width="1.42578125" style="82" customWidth="1"/>
    <col min="13573" max="13573" width="5.28515625" style="82" customWidth="1"/>
    <col min="13574" max="13574" width="1" style="82" customWidth="1"/>
    <col min="13575" max="13575" width="2.140625" style="82" customWidth="1"/>
    <col min="13576" max="13576" width="1.42578125" style="82" customWidth="1"/>
    <col min="13577" max="13577" width="4" style="82" customWidth="1"/>
    <col min="13578" max="13578" width="13.5703125" style="82" customWidth="1"/>
    <col min="13579" max="13579" width="6" style="82" customWidth="1"/>
    <col min="13580" max="13580" width="6.7109375" style="82" customWidth="1"/>
    <col min="13581" max="13581" width="6.5703125" style="82" customWidth="1"/>
    <col min="13582" max="13582" width="7.5703125" style="82" customWidth="1"/>
    <col min="13583" max="13583" width="6.5703125" style="82" customWidth="1"/>
    <col min="13584" max="13584" width="7" style="82" customWidth="1"/>
    <col min="13585" max="13585" width="6.85546875" style="82" customWidth="1"/>
    <col min="13586" max="13586" width="8.28515625" style="82" customWidth="1"/>
    <col min="13587" max="13589" width="7.5703125" style="82" customWidth="1"/>
    <col min="13590" max="13590" width="7.28515625" style="82" customWidth="1"/>
    <col min="13591" max="13591" width="7.85546875" style="82" customWidth="1"/>
    <col min="13592" max="13592" width="6.42578125" style="82" customWidth="1"/>
    <col min="13593" max="13593" width="6.5703125" style="82" customWidth="1"/>
    <col min="13594" max="13594" width="7.140625" style="82" customWidth="1"/>
    <col min="13595" max="13596" width="8.140625" style="82" customWidth="1"/>
    <col min="13597" max="13597" width="6.7109375" style="82" customWidth="1"/>
    <col min="13598" max="13598" width="7.28515625" style="82" customWidth="1"/>
    <col min="13599" max="13599" width="8" style="82" customWidth="1"/>
    <col min="13600" max="13600" width="7.5703125" style="82" customWidth="1"/>
    <col min="13601" max="13601" width="7.28515625" style="82" customWidth="1"/>
    <col min="13602" max="13602" width="7" style="82" customWidth="1"/>
    <col min="13603" max="13612" width="9.140625" style="82"/>
    <col min="13613" max="13615" width="7.7109375" style="82" customWidth="1"/>
    <col min="13616" max="13635" width="4.85546875" style="82" customWidth="1"/>
    <col min="13636" max="13825" width="9.140625" style="82"/>
    <col min="13826" max="13826" width="6.5703125" style="82" customWidth="1"/>
    <col min="13827" max="13827" width="5.7109375" style="82" customWidth="1"/>
    <col min="13828" max="13828" width="1.42578125" style="82" customWidth="1"/>
    <col min="13829" max="13829" width="5.28515625" style="82" customWidth="1"/>
    <col min="13830" max="13830" width="1" style="82" customWidth="1"/>
    <col min="13831" max="13831" width="2.140625" style="82" customWidth="1"/>
    <col min="13832" max="13832" width="1.42578125" style="82" customWidth="1"/>
    <col min="13833" max="13833" width="4" style="82" customWidth="1"/>
    <col min="13834" max="13834" width="13.5703125" style="82" customWidth="1"/>
    <col min="13835" max="13835" width="6" style="82" customWidth="1"/>
    <col min="13836" max="13836" width="6.7109375" style="82" customWidth="1"/>
    <col min="13837" max="13837" width="6.5703125" style="82" customWidth="1"/>
    <col min="13838" max="13838" width="7.5703125" style="82" customWidth="1"/>
    <col min="13839" max="13839" width="6.5703125" style="82" customWidth="1"/>
    <col min="13840" max="13840" width="7" style="82" customWidth="1"/>
    <col min="13841" max="13841" width="6.85546875" style="82" customWidth="1"/>
    <col min="13842" max="13842" width="8.28515625" style="82" customWidth="1"/>
    <col min="13843" max="13845" width="7.5703125" style="82" customWidth="1"/>
    <col min="13846" max="13846" width="7.28515625" style="82" customWidth="1"/>
    <col min="13847" max="13847" width="7.85546875" style="82" customWidth="1"/>
    <col min="13848" max="13848" width="6.42578125" style="82" customWidth="1"/>
    <col min="13849" max="13849" width="6.5703125" style="82" customWidth="1"/>
    <col min="13850" max="13850" width="7.140625" style="82" customWidth="1"/>
    <col min="13851" max="13852" width="8.140625" style="82" customWidth="1"/>
    <col min="13853" max="13853" width="6.7109375" style="82" customWidth="1"/>
    <col min="13854" max="13854" width="7.28515625" style="82" customWidth="1"/>
    <col min="13855" max="13855" width="8" style="82" customWidth="1"/>
    <col min="13856" max="13856" width="7.5703125" style="82" customWidth="1"/>
    <col min="13857" max="13857" width="7.28515625" style="82" customWidth="1"/>
    <col min="13858" max="13858" width="7" style="82" customWidth="1"/>
    <col min="13859" max="13868" width="9.140625" style="82"/>
    <col min="13869" max="13871" width="7.7109375" style="82" customWidth="1"/>
    <col min="13872" max="13891" width="4.85546875" style="82" customWidth="1"/>
    <col min="13892" max="14081" width="9.140625" style="82"/>
    <col min="14082" max="14082" width="6.5703125" style="82" customWidth="1"/>
    <col min="14083" max="14083" width="5.7109375" style="82" customWidth="1"/>
    <col min="14084" max="14084" width="1.42578125" style="82" customWidth="1"/>
    <col min="14085" max="14085" width="5.28515625" style="82" customWidth="1"/>
    <col min="14086" max="14086" width="1" style="82" customWidth="1"/>
    <col min="14087" max="14087" width="2.140625" style="82" customWidth="1"/>
    <col min="14088" max="14088" width="1.42578125" style="82" customWidth="1"/>
    <col min="14089" max="14089" width="4" style="82" customWidth="1"/>
    <col min="14090" max="14090" width="13.5703125" style="82" customWidth="1"/>
    <col min="14091" max="14091" width="6" style="82" customWidth="1"/>
    <col min="14092" max="14092" width="6.7109375" style="82" customWidth="1"/>
    <col min="14093" max="14093" width="6.5703125" style="82" customWidth="1"/>
    <col min="14094" max="14094" width="7.5703125" style="82" customWidth="1"/>
    <col min="14095" max="14095" width="6.5703125" style="82" customWidth="1"/>
    <col min="14096" max="14096" width="7" style="82" customWidth="1"/>
    <col min="14097" max="14097" width="6.85546875" style="82" customWidth="1"/>
    <col min="14098" max="14098" width="8.28515625" style="82" customWidth="1"/>
    <col min="14099" max="14101" width="7.5703125" style="82" customWidth="1"/>
    <col min="14102" max="14102" width="7.28515625" style="82" customWidth="1"/>
    <col min="14103" max="14103" width="7.85546875" style="82" customWidth="1"/>
    <col min="14104" max="14104" width="6.42578125" style="82" customWidth="1"/>
    <col min="14105" max="14105" width="6.5703125" style="82" customWidth="1"/>
    <col min="14106" max="14106" width="7.140625" style="82" customWidth="1"/>
    <col min="14107" max="14108" width="8.140625" style="82" customWidth="1"/>
    <col min="14109" max="14109" width="6.7109375" style="82" customWidth="1"/>
    <col min="14110" max="14110" width="7.28515625" style="82" customWidth="1"/>
    <col min="14111" max="14111" width="8" style="82" customWidth="1"/>
    <col min="14112" max="14112" width="7.5703125" style="82" customWidth="1"/>
    <col min="14113" max="14113" width="7.28515625" style="82" customWidth="1"/>
    <col min="14114" max="14114" width="7" style="82" customWidth="1"/>
    <col min="14115" max="14124" width="9.140625" style="82"/>
    <col min="14125" max="14127" width="7.7109375" style="82" customWidth="1"/>
    <col min="14128" max="14147" width="4.85546875" style="82" customWidth="1"/>
    <col min="14148" max="14337" width="9.140625" style="82"/>
    <col min="14338" max="14338" width="6.5703125" style="82" customWidth="1"/>
    <col min="14339" max="14339" width="5.7109375" style="82" customWidth="1"/>
    <col min="14340" max="14340" width="1.42578125" style="82" customWidth="1"/>
    <col min="14341" max="14341" width="5.28515625" style="82" customWidth="1"/>
    <col min="14342" max="14342" width="1" style="82" customWidth="1"/>
    <col min="14343" max="14343" width="2.140625" style="82" customWidth="1"/>
    <col min="14344" max="14344" width="1.42578125" style="82" customWidth="1"/>
    <col min="14345" max="14345" width="4" style="82" customWidth="1"/>
    <col min="14346" max="14346" width="13.5703125" style="82" customWidth="1"/>
    <col min="14347" max="14347" width="6" style="82" customWidth="1"/>
    <col min="14348" max="14348" width="6.7109375" style="82" customWidth="1"/>
    <col min="14349" max="14349" width="6.5703125" style="82" customWidth="1"/>
    <col min="14350" max="14350" width="7.5703125" style="82" customWidth="1"/>
    <col min="14351" max="14351" width="6.5703125" style="82" customWidth="1"/>
    <col min="14352" max="14352" width="7" style="82" customWidth="1"/>
    <col min="14353" max="14353" width="6.85546875" style="82" customWidth="1"/>
    <col min="14354" max="14354" width="8.28515625" style="82" customWidth="1"/>
    <col min="14355" max="14357" width="7.5703125" style="82" customWidth="1"/>
    <col min="14358" max="14358" width="7.28515625" style="82" customWidth="1"/>
    <col min="14359" max="14359" width="7.85546875" style="82" customWidth="1"/>
    <col min="14360" max="14360" width="6.42578125" style="82" customWidth="1"/>
    <col min="14361" max="14361" width="6.5703125" style="82" customWidth="1"/>
    <col min="14362" max="14362" width="7.140625" style="82" customWidth="1"/>
    <col min="14363" max="14364" width="8.140625" style="82" customWidth="1"/>
    <col min="14365" max="14365" width="6.7109375" style="82" customWidth="1"/>
    <col min="14366" max="14366" width="7.28515625" style="82" customWidth="1"/>
    <col min="14367" max="14367" width="8" style="82" customWidth="1"/>
    <col min="14368" max="14368" width="7.5703125" style="82" customWidth="1"/>
    <col min="14369" max="14369" width="7.28515625" style="82" customWidth="1"/>
    <col min="14370" max="14370" width="7" style="82" customWidth="1"/>
    <col min="14371" max="14380" width="9.140625" style="82"/>
    <col min="14381" max="14383" width="7.7109375" style="82" customWidth="1"/>
    <col min="14384" max="14403" width="4.85546875" style="82" customWidth="1"/>
    <col min="14404" max="14593" width="9.140625" style="82"/>
    <col min="14594" max="14594" width="6.5703125" style="82" customWidth="1"/>
    <col min="14595" max="14595" width="5.7109375" style="82" customWidth="1"/>
    <col min="14596" max="14596" width="1.42578125" style="82" customWidth="1"/>
    <col min="14597" max="14597" width="5.28515625" style="82" customWidth="1"/>
    <col min="14598" max="14598" width="1" style="82" customWidth="1"/>
    <col min="14599" max="14599" width="2.140625" style="82" customWidth="1"/>
    <col min="14600" max="14600" width="1.42578125" style="82" customWidth="1"/>
    <col min="14601" max="14601" width="4" style="82" customWidth="1"/>
    <col min="14602" max="14602" width="13.5703125" style="82" customWidth="1"/>
    <col min="14603" max="14603" width="6" style="82" customWidth="1"/>
    <col min="14604" max="14604" width="6.7109375" style="82" customWidth="1"/>
    <col min="14605" max="14605" width="6.5703125" style="82" customWidth="1"/>
    <col min="14606" max="14606" width="7.5703125" style="82" customWidth="1"/>
    <col min="14607" max="14607" width="6.5703125" style="82" customWidth="1"/>
    <col min="14608" max="14608" width="7" style="82" customWidth="1"/>
    <col min="14609" max="14609" width="6.85546875" style="82" customWidth="1"/>
    <col min="14610" max="14610" width="8.28515625" style="82" customWidth="1"/>
    <col min="14611" max="14613" width="7.5703125" style="82" customWidth="1"/>
    <col min="14614" max="14614" width="7.28515625" style="82" customWidth="1"/>
    <col min="14615" max="14615" width="7.85546875" style="82" customWidth="1"/>
    <col min="14616" max="14616" width="6.42578125" style="82" customWidth="1"/>
    <col min="14617" max="14617" width="6.5703125" style="82" customWidth="1"/>
    <col min="14618" max="14618" width="7.140625" style="82" customWidth="1"/>
    <col min="14619" max="14620" width="8.140625" style="82" customWidth="1"/>
    <col min="14621" max="14621" width="6.7109375" style="82" customWidth="1"/>
    <col min="14622" max="14622" width="7.28515625" style="82" customWidth="1"/>
    <col min="14623" max="14623" width="8" style="82" customWidth="1"/>
    <col min="14624" max="14624" width="7.5703125" style="82" customWidth="1"/>
    <col min="14625" max="14625" width="7.28515625" style="82" customWidth="1"/>
    <col min="14626" max="14626" width="7" style="82" customWidth="1"/>
    <col min="14627" max="14636" width="9.140625" style="82"/>
    <col min="14637" max="14639" width="7.7109375" style="82" customWidth="1"/>
    <col min="14640" max="14659" width="4.85546875" style="82" customWidth="1"/>
    <col min="14660" max="14849" width="9.140625" style="82"/>
    <col min="14850" max="14850" width="6.5703125" style="82" customWidth="1"/>
    <col min="14851" max="14851" width="5.7109375" style="82" customWidth="1"/>
    <col min="14852" max="14852" width="1.42578125" style="82" customWidth="1"/>
    <col min="14853" max="14853" width="5.28515625" style="82" customWidth="1"/>
    <col min="14854" max="14854" width="1" style="82" customWidth="1"/>
    <col min="14855" max="14855" width="2.140625" style="82" customWidth="1"/>
    <col min="14856" max="14856" width="1.42578125" style="82" customWidth="1"/>
    <col min="14857" max="14857" width="4" style="82" customWidth="1"/>
    <col min="14858" max="14858" width="13.5703125" style="82" customWidth="1"/>
    <col min="14859" max="14859" width="6" style="82" customWidth="1"/>
    <col min="14860" max="14860" width="6.7109375" style="82" customWidth="1"/>
    <col min="14861" max="14861" width="6.5703125" style="82" customWidth="1"/>
    <col min="14862" max="14862" width="7.5703125" style="82" customWidth="1"/>
    <col min="14863" max="14863" width="6.5703125" style="82" customWidth="1"/>
    <col min="14864" max="14864" width="7" style="82" customWidth="1"/>
    <col min="14865" max="14865" width="6.85546875" style="82" customWidth="1"/>
    <col min="14866" max="14866" width="8.28515625" style="82" customWidth="1"/>
    <col min="14867" max="14869" width="7.5703125" style="82" customWidth="1"/>
    <col min="14870" max="14870" width="7.28515625" style="82" customWidth="1"/>
    <col min="14871" max="14871" width="7.85546875" style="82" customWidth="1"/>
    <col min="14872" max="14872" width="6.42578125" style="82" customWidth="1"/>
    <col min="14873" max="14873" width="6.5703125" style="82" customWidth="1"/>
    <col min="14874" max="14874" width="7.140625" style="82" customWidth="1"/>
    <col min="14875" max="14876" width="8.140625" style="82" customWidth="1"/>
    <col min="14877" max="14877" width="6.7109375" style="82" customWidth="1"/>
    <col min="14878" max="14878" width="7.28515625" style="82" customWidth="1"/>
    <col min="14879" max="14879" width="8" style="82" customWidth="1"/>
    <col min="14880" max="14880" width="7.5703125" style="82" customWidth="1"/>
    <col min="14881" max="14881" width="7.28515625" style="82" customWidth="1"/>
    <col min="14882" max="14882" width="7" style="82" customWidth="1"/>
    <col min="14883" max="14892" width="9.140625" style="82"/>
    <col min="14893" max="14895" width="7.7109375" style="82" customWidth="1"/>
    <col min="14896" max="14915" width="4.85546875" style="82" customWidth="1"/>
    <col min="14916" max="15105" width="9.140625" style="82"/>
    <col min="15106" max="15106" width="6.5703125" style="82" customWidth="1"/>
    <col min="15107" max="15107" width="5.7109375" style="82" customWidth="1"/>
    <col min="15108" max="15108" width="1.42578125" style="82" customWidth="1"/>
    <col min="15109" max="15109" width="5.28515625" style="82" customWidth="1"/>
    <col min="15110" max="15110" width="1" style="82" customWidth="1"/>
    <col min="15111" max="15111" width="2.140625" style="82" customWidth="1"/>
    <col min="15112" max="15112" width="1.42578125" style="82" customWidth="1"/>
    <col min="15113" max="15113" width="4" style="82" customWidth="1"/>
    <col min="15114" max="15114" width="13.5703125" style="82" customWidth="1"/>
    <col min="15115" max="15115" width="6" style="82" customWidth="1"/>
    <col min="15116" max="15116" width="6.7109375" style="82" customWidth="1"/>
    <col min="15117" max="15117" width="6.5703125" style="82" customWidth="1"/>
    <col min="15118" max="15118" width="7.5703125" style="82" customWidth="1"/>
    <col min="15119" max="15119" width="6.5703125" style="82" customWidth="1"/>
    <col min="15120" max="15120" width="7" style="82" customWidth="1"/>
    <col min="15121" max="15121" width="6.85546875" style="82" customWidth="1"/>
    <col min="15122" max="15122" width="8.28515625" style="82" customWidth="1"/>
    <col min="15123" max="15125" width="7.5703125" style="82" customWidth="1"/>
    <col min="15126" max="15126" width="7.28515625" style="82" customWidth="1"/>
    <col min="15127" max="15127" width="7.85546875" style="82" customWidth="1"/>
    <col min="15128" max="15128" width="6.42578125" style="82" customWidth="1"/>
    <col min="15129" max="15129" width="6.5703125" style="82" customWidth="1"/>
    <col min="15130" max="15130" width="7.140625" style="82" customWidth="1"/>
    <col min="15131" max="15132" width="8.140625" style="82" customWidth="1"/>
    <col min="15133" max="15133" width="6.7109375" style="82" customWidth="1"/>
    <col min="15134" max="15134" width="7.28515625" style="82" customWidth="1"/>
    <col min="15135" max="15135" width="8" style="82" customWidth="1"/>
    <col min="15136" max="15136" width="7.5703125" style="82" customWidth="1"/>
    <col min="15137" max="15137" width="7.28515625" style="82" customWidth="1"/>
    <col min="15138" max="15138" width="7" style="82" customWidth="1"/>
    <col min="15139" max="15148" width="9.140625" style="82"/>
    <col min="15149" max="15151" width="7.7109375" style="82" customWidth="1"/>
    <col min="15152" max="15171" width="4.85546875" style="82" customWidth="1"/>
    <col min="15172" max="15361" width="9.140625" style="82"/>
    <col min="15362" max="15362" width="6.5703125" style="82" customWidth="1"/>
    <col min="15363" max="15363" width="5.7109375" style="82" customWidth="1"/>
    <col min="15364" max="15364" width="1.42578125" style="82" customWidth="1"/>
    <col min="15365" max="15365" width="5.28515625" style="82" customWidth="1"/>
    <col min="15366" max="15366" width="1" style="82" customWidth="1"/>
    <col min="15367" max="15367" width="2.140625" style="82" customWidth="1"/>
    <col min="15368" max="15368" width="1.42578125" style="82" customWidth="1"/>
    <col min="15369" max="15369" width="4" style="82" customWidth="1"/>
    <col min="15370" max="15370" width="13.5703125" style="82" customWidth="1"/>
    <col min="15371" max="15371" width="6" style="82" customWidth="1"/>
    <col min="15372" max="15372" width="6.7109375" style="82" customWidth="1"/>
    <col min="15373" max="15373" width="6.5703125" style="82" customWidth="1"/>
    <col min="15374" max="15374" width="7.5703125" style="82" customWidth="1"/>
    <col min="15375" max="15375" width="6.5703125" style="82" customWidth="1"/>
    <col min="15376" max="15376" width="7" style="82" customWidth="1"/>
    <col min="15377" max="15377" width="6.85546875" style="82" customWidth="1"/>
    <col min="15378" max="15378" width="8.28515625" style="82" customWidth="1"/>
    <col min="15379" max="15381" width="7.5703125" style="82" customWidth="1"/>
    <col min="15382" max="15382" width="7.28515625" style="82" customWidth="1"/>
    <col min="15383" max="15383" width="7.85546875" style="82" customWidth="1"/>
    <col min="15384" max="15384" width="6.42578125" style="82" customWidth="1"/>
    <col min="15385" max="15385" width="6.5703125" style="82" customWidth="1"/>
    <col min="15386" max="15386" width="7.140625" style="82" customWidth="1"/>
    <col min="15387" max="15388" width="8.140625" style="82" customWidth="1"/>
    <col min="15389" max="15389" width="6.7109375" style="82" customWidth="1"/>
    <col min="15390" max="15390" width="7.28515625" style="82" customWidth="1"/>
    <col min="15391" max="15391" width="8" style="82" customWidth="1"/>
    <col min="15392" max="15392" width="7.5703125" style="82" customWidth="1"/>
    <col min="15393" max="15393" width="7.28515625" style="82" customWidth="1"/>
    <col min="15394" max="15394" width="7" style="82" customWidth="1"/>
    <col min="15395" max="15404" width="9.140625" style="82"/>
    <col min="15405" max="15407" width="7.7109375" style="82" customWidth="1"/>
    <col min="15408" max="15427" width="4.85546875" style="82" customWidth="1"/>
    <col min="15428" max="15617" width="9.140625" style="82"/>
    <col min="15618" max="15618" width="6.5703125" style="82" customWidth="1"/>
    <col min="15619" max="15619" width="5.7109375" style="82" customWidth="1"/>
    <col min="15620" max="15620" width="1.42578125" style="82" customWidth="1"/>
    <col min="15621" max="15621" width="5.28515625" style="82" customWidth="1"/>
    <col min="15622" max="15622" width="1" style="82" customWidth="1"/>
    <col min="15623" max="15623" width="2.140625" style="82" customWidth="1"/>
    <col min="15624" max="15624" width="1.42578125" style="82" customWidth="1"/>
    <col min="15625" max="15625" width="4" style="82" customWidth="1"/>
    <col min="15626" max="15626" width="13.5703125" style="82" customWidth="1"/>
    <col min="15627" max="15627" width="6" style="82" customWidth="1"/>
    <col min="15628" max="15628" width="6.7109375" style="82" customWidth="1"/>
    <col min="15629" max="15629" width="6.5703125" style="82" customWidth="1"/>
    <col min="15630" max="15630" width="7.5703125" style="82" customWidth="1"/>
    <col min="15631" max="15631" width="6.5703125" style="82" customWidth="1"/>
    <col min="15632" max="15632" width="7" style="82" customWidth="1"/>
    <col min="15633" max="15633" width="6.85546875" style="82" customWidth="1"/>
    <col min="15634" max="15634" width="8.28515625" style="82" customWidth="1"/>
    <col min="15635" max="15637" width="7.5703125" style="82" customWidth="1"/>
    <col min="15638" max="15638" width="7.28515625" style="82" customWidth="1"/>
    <col min="15639" max="15639" width="7.85546875" style="82" customWidth="1"/>
    <col min="15640" max="15640" width="6.42578125" style="82" customWidth="1"/>
    <col min="15641" max="15641" width="6.5703125" style="82" customWidth="1"/>
    <col min="15642" max="15642" width="7.140625" style="82" customWidth="1"/>
    <col min="15643" max="15644" width="8.140625" style="82" customWidth="1"/>
    <col min="15645" max="15645" width="6.7109375" style="82" customWidth="1"/>
    <col min="15646" max="15646" width="7.28515625" style="82" customWidth="1"/>
    <col min="15647" max="15647" width="8" style="82" customWidth="1"/>
    <col min="15648" max="15648" width="7.5703125" style="82" customWidth="1"/>
    <col min="15649" max="15649" width="7.28515625" style="82" customWidth="1"/>
    <col min="15650" max="15650" width="7" style="82" customWidth="1"/>
    <col min="15651" max="15660" width="9.140625" style="82"/>
    <col min="15661" max="15663" width="7.7109375" style="82" customWidth="1"/>
    <col min="15664" max="15683" width="4.85546875" style="82" customWidth="1"/>
    <col min="15684" max="15873" width="9.140625" style="82"/>
    <col min="15874" max="15874" width="6.5703125" style="82" customWidth="1"/>
    <col min="15875" max="15875" width="5.7109375" style="82" customWidth="1"/>
    <col min="15876" max="15876" width="1.42578125" style="82" customWidth="1"/>
    <col min="15877" max="15877" width="5.28515625" style="82" customWidth="1"/>
    <col min="15878" max="15878" width="1" style="82" customWidth="1"/>
    <col min="15879" max="15879" width="2.140625" style="82" customWidth="1"/>
    <col min="15880" max="15880" width="1.42578125" style="82" customWidth="1"/>
    <col min="15881" max="15881" width="4" style="82" customWidth="1"/>
    <col min="15882" max="15882" width="13.5703125" style="82" customWidth="1"/>
    <col min="15883" max="15883" width="6" style="82" customWidth="1"/>
    <col min="15884" max="15884" width="6.7109375" style="82" customWidth="1"/>
    <col min="15885" max="15885" width="6.5703125" style="82" customWidth="1"/>
    <col min="15886" max="15886" width="7.5703125" style="82" customWidth="1"/>
    <col min="15887" max="15887" width="6.5703125" style="82" customWidth="1"/>
    <col min="15888" max="15888" width="7" style="82" customWidth="1"/>
    <col min="15889" max="15889" width="6.85546875" style="82" customWidth="1"/>
    <col min="15890" max="15890" width="8.28515625" style="82" customWidth="1"/>
    <col min="15891" max="15893" width="7.5703125" style="82" customWidth="1"/>
    <col min="15894" max="15894" width="7.28515625" style="82" customWidth="1"/>
    <col min="15895" max="15895" width="7.85546875" style="82" customWidth="1"/>
    <col min="15896" max="15896" width="6.42578125" style="82" customWidth="1"/>
    <col min="15897" max="15897" width="6.5703125" style="82" customWidth="1"/>
    <col min="15898" max="15898" width="7.140625" style="82" customWidth="1"/>
    <col min="15899" max="15900" width="8.140625" style="82" customWidth="1"/>
    <col min="15901" max="15901" width="6.7109375" style="82" customWidth="1"/>
    <col min="15902" max="15902" width="7.28515625" style="82" customWidth="1"/>
    <col min="15903" max="15903" width="8" style="82" customWidth="1"/>
    <col min="15904" max="15904" width="7.5703125" style="82" customWidth="1"/>
    <col min="15905" max="15905" width="7.28515625" style="82" customWidth="1"/>
    <col min="15906" max="15906" width="7" style="82" customWidth="1"/>
    <col min="15907" max="15916" width="9.140625" style="82"/>
    <col min="15917" max="15919" width="7.7109375" style="82" customWidth="1"/>
    <col min="15920" max="15939" width="4.85546875" style="82" customWidth="1"/>
    <col min="15940" max="16129" width="9.140625" style="82"/>
    <col min="16130" max="16130" width="6.5703125" style="82" customWidth="1"/>
    <col min="16131" max="16131" width="5.7109375" style="82" customWidth="1"/>
    <col min="16132" max="16132" width="1.42578125" style="82" customWidth="1"/>
    <col min="16133" max="16133" width="5.28515625" style="82" customWidth="1"/>
    <col min="16134" max="16134" width="1" style="82" customWidth="1"/>
    <col min="16135" max="16135" width="2.140625" style="82" customWidth="1"/>
    <col min="16136" max="16136" width="1.42578125" style="82" customWidth="1"/>
    <col min="16137" max="16137" width="4" style="82" customWidth="1"/>
    <col min="16138" max="16138" width="13.5703125" style="82" customWidth="1"/>
    <col min="16139" max="16139" width="6" style="82" customWidth="1"/>
    <col min="16140" max="16140" width="6.7109375" style="82" customWidth="1"/>
    <col min="16141" max="16141" width="6.5703125" style="82" customWidth="1"/>
    <col min="16142" max="16142" width="7.5703125" style="82" customWidth="1"/>
    <col min="16143" max="16143" width="6.5703125" style="82" customWidth="1"/>
    <col min="16144" max="16144" width="7" style="82" customWidth="1"/>
    <col min="16145" max="16145" width="6.85546875" style="82" customWidth="1"/>
    <col min="16146" max="16146" width="8.28515625" style="82" customWidth="1"/>
    <col min="16147" max="16149" width="7.5703125" style="82" customWidth="1"/>
    <col min="16150" max="16150" width="7.28515625" style="82" customWidth="1"/>
    <col min="16151" max="16151" width="7.85546875" style="82" customWidth="1"/>
    <col min="16152" max="16152" width="6.42578125" style="82" customWidth="1"/>
    <col min="16153" max="16153" width="6.5703125" style="82" customWidth="1"/>
    <col min="16154" max="16154" width="7.140625" style="82" customWidth="1"/>
    <col min="16155" max="16156" width="8.140625" style="82" customWidth="1"/>
    <col min="16157" max="16157" width="6.7109375" style="82" customWidth="1"/>
    <col min="16158" max="16158" width="7.28515625" style="82" customWidth="1"/>
    <col min="16159" max="16159" width="8" style="82" customWidth="1"/>
    <col min="16160" max="16160" width="7.5703125" style="82" customWidth="1"/>
    <col min="16161" max="16161" width="7.28515625" style="82" customWidth="1"/>
    <col min="16162" max="16162" width="7" style="82" customWidth="1"/>
    <col min="16163" max="16172" width="9.140625" style="82"/>
    <col min="16173" max="16175" width="7.7109375" style="82" customWidth="1"/>
    <col min="16176" max="16195" width="4.85546875" style="82" customWidth="1"/>
    <col min="16196" max="16384" width="9.140625" style="82"/>
  </cols>
  <sheetData>
    <row r="1" spans="1:76" ht="18.75" customHeight="1" x14ac:dyDescent="0.3">
      <c r="A1" s="76"/>
      <c r="B1" s="77"/>
      <c r="C1" s="78"/>
      <c r="D1" s="79"/>
      <c r="E1" s="77"/>
      <c r="F1" s="79"/>
      <c r="G1" s="77"/>
      <c r="H1" s="79"/>
      <c r="I1" s="80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76" s="85" customFormat="1" ht="33" customHeight="1" x14ac:dyDescent="0.25">
      <c r="A2" s="83"/>
      <c r="B2" s="245" t="s">
        <v>26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84"/>
      <c r="U2" s="84"/>
      <c r="V2" s="84"/>
      <c r="W2" s="84"/>
      <c r="X2" s="84"/>
      <c r="Y2" s="83"/>
      <c r="Z2" s="83"/>
      <c r="AA2" s="83"/>
      <c r="AB2" s="83"/>
      <c r="AC2" s="83"/>
      <c r="AD2" s="207"/>
      <c r="AE2" s="207"/>
      <c r="AF2" s="207"/>
      <c r="AG2" s="207"/>
      <c r="AH2" s="207"/>
      <c r="AI2" s="208"/>
      <c r="AJ2" s="208"/>
    </row>
    <row r="3" spans="1:76" ht="24" customHeight="1" x14ac:dyDescent="0.3">
      <c r="A3" s="7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76"/>
      <c r="AA3" s="76"/>
      <c r="AB3" s="76"/>
      <c r="AC3" s="76"/>
      <c r="AD3" s="76"/>
      <c r="AE3" s="76"/>
      <c r="AF3" s="76"/>
      <c r="AG3" s="76"/>
      <c r="AH3" s="76"/>
      <c r="BD3" s="86"/>
      <c r="BE3" s="86"/>
      <c r="BF3" s="86"/>
      <c r="BG3" s="86"/>
    </row>
    <row r="4" spans="1:76" s="86" customFormat="1" ht="18.75" customHeight="1" x14ac:dyDescent="0.3">
      <c r="A4" s="77"/>
      <c r="B4" s="87" t="s">
        <v>0</v>
      </c>
      <c r="C4" s="88"/>
      <c r="D4" s="88"/>
      <c r="E4" s="88"/>
      <c r="F4" s="88"/>
      <c r="G4" s="88"/>
      <c r="H4" s="88"/>
      <c r="I4" s="88"/>
      <c r="J4" s="89"/>
      <c r="K4" s="89"/>
      <c r="L4" s="89"/>
      <c r="M4" s="87" t="s">
        <v>1</v>
      </c>
      <c r="N4" s="88"/>
      <c r="O4" s="90"/>
      <c r="P4" s="91"/>
      <c r="Q4" s="92"/>
      <c r="R4" s="92"/>
      <c r="S4" s="93"/>
      <c r="T4" s="94">
        <f>(R6-70)/10</f>
        <v>9</v>
      </c>
      <c r="U4" s="95"/>
      <c r="V4" s="95"/>
      <c r="W4" s="95"/>
      <c r="X4" s="95"/>
      <c r="Y4" s="77"/>
      <c r="Z4" s="77"/>
      <c r="AA4" s="77"/>
      <c r="AB4" s="77"/>
      <c r="AC4" s="77"/>
      <c r="AD4" s="76"/>
      <c r="AE4" s="76"/>
      <c r="AF4" s="76"/>
      <c r="AG4" s="76"/>
      <c r="AH4" s="76"/>
      <c r="AI4" s="82"/>
      <c r="AJ4" s="82"/>
    </row>
    <row r="5" spans="1:76" s="86" customFormat="1" ht="18.75" customHeight="1" x14ac:dyDescent="0.3">
      <c r="A5" s="77"/>
      <c r="B5" s="96"/>
      <c r="C5" s="89"/>
      <c r="D5" s="89"/>
      <c r="E5" s="89"/>
      <c r="F5" s="89"/>
      <c r="G5" s="89"/>
      <c r="H5" s="89"/>
      <c r="I5" s="89"/>
      <c r="J5" s="89"/>
      <c r="K5" s="89"/>
      <c r="L5" s="89"/>
      <c r="M5" s="96"/>
      <c r="N5" s="89"/>
      <c r="O5" s="97"/>
      <c r="P5" s="92"/>
      <c r="Q5" s="92"/>
      <c r="R5" s="92"/>
      <c r="S5" s="93"/>
      <c r="T5" s="94">
        <f>R7-200</f>
        <v>1000</v>
      </c>
      <c r="U5" s="95"/>
      <c r="V5" s="95"/>
      <c r="W5" s="95"/>
      <c r="X5" s="95"/>
      <c r="Y5" s="77"/>
      <c r="Z5" s="77"/>
      <c r="AA5" s="77"/>
      <c r="AB5" s="77"/>
      <c r="AC5" s="77"/>
      <c r="AD5" s="76"/>
      <c r="AE5" s="209">
        <f>(I7-I8)/2+I8</f>
        <v>50</v>
      </c>
      <c r="AF5" s="210" t="s">
        <v>27</v>
      </c>
      <c r="AG5" s="76"/>
      <c r="AH5" s="76"/>
      <c r="AI5" s="82"/>
      <c r="AJ5" s="82"/>
    </row>
    <row r="6" spans="1:76" ht="24" customHeight="1" x14ac:dyDescent="0.25">
      <c r="A6" s="76"/>
      <c r="B6" s="98" t="s">
        <v>2</v>
      </c>
      <c r="C6" s="98"/>
      <c r="D6" s="98"/>
      <c r="E6" s="98"/>
      <c r="F6" s="98"/>
      <c r="G6" s="98"/>
      <c r="H6" s="98"/>
      <c r="I6" s="99">
        <f>Kalkulace!J6</f>
        <v>20</v>
      </c>
      <c r="J6" s="100" t="str">
        <f>IF(I8&lt;I6,"Toto není chlazení !!!","")</f>
        <v/>
      </c>
      <c r="M6" s="98" t="s">
        <v>4</v>
      </c>
      <c r="N6" s="102"/>
      <c r="O6" s="102"/>
      <c r="P6" s="102"/>
      <c r="Q6" s="76"/>
      <c r="R6" s="99">
        <f>Kalkulace!P6</f>
        <v>160</v>
      </c>
      <c r="S6" s="103" t="str">
        <f>IF(R6&lt;90,"Příliš malá výška je nižší než  90MM","Správná výška pro tuto konstrukci je  90 - 400MM")</f>
        <v>Správná výška pro tuto konstrukci je  90 - 400MM</v>
      </c>
      <c r="T6" s="77"/>
      <c r="U6" s="104"/>
      <c r="V6" s="77"/>
      <c r="W6" s="77"/>
      <c r="X6" s="77"/>
      <c r="Y6" s="77"/>
      <c r="Z6" s="77"/>
      <c r="AA6" s="76"/>
      <c r="AB6" s="76"/>
      <c r="AC6" s="76"/>
      <c r="AD6" s="76"/>
      <c r="AE6" s="211">
        <f>I6</f>
        <v>20</v>
      </c>
      <c r="AF6" s="210" t="s">
        <v>27</v>
      </c>
      <c r="AG6" s="76"/>
      <c r="AU6" s="86"/>
      <c r="AV6" s="86"/>
      <c r="AW6" s="86"/>
      <c r="AX6" s="86"/>
    </row>
    <row r="7" spans="1:76" s="106" customFormat="1" ht="22.5" customHeight="1" x14ac:dyDescent="0.25">
      <c r="A7" s="105"/>
      <c r="B7" s="98" t="s">
        <v>5</v>
      </c>
      <c r="C7" s="98"/>
      <c r="D7" s="98"/>
      <c r="E7" s="98"/>
      <c r="F7" s="98"/>
      <c r="G7" s="98"/>
      <c r="H7" s="98"/>
      <c r="I7" s="99">
        <f>Kalkulace!J7</f>
        <v>60</v>
      </c>
      <c r="M7" s="98" t="s">
        <v>6</v>
      </c>
      <c r="N7" s="102"/>
      <c r="O7" s="102"/>
      <c r="P7" s="102"/>
      <c r="Q7" s="105"/>
      <c r="R7" s="99">
        <f>Kalkulace!P7</f>
        <v>1200</v>
      </c>
      <c r="S7" s="103" t="str">
        <f>IF(R7&lt;800,"Příliš krátká délka -  je menší než  800mm","Jeden výměník FOXIS pokryje topný schod v délce od 800 do 5000 mm")</f>
        <v>Jeden výměník FOXIS pokryje topný schod v délce od 800 do 5000 mm</v>
      </c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212"/>
      <c r="AE7" s="213" t="str">
        <f>IF(I8&gt;I7,"Vstupní teplota je nižší než výstupní","")</f>
        <v/>
      </c>
      <c r="AF7" s="213"/>
      <c r="AG7" s="212"/>
      <c r="AH7" s="214"/>
      <c r="AI7" s="214"/>
      <c r="AJ7" s="214"/>
    </row>
    <row r="8" spans="1:76" ht="21.75" customHeight="1" x14ac:dyDescent="0.25">
      <c r="A8" s="76"/>
      <c r="B8" s="98" t="s">
        <v>7</v>
      </c>
      <c r="C8" s="98"/>
      <c r="D8" s="98"/>
      <c r="E8" s="98"/>
      <c r="F8" s="98"/>
      <c r="G8" s="98"/>
      <c r="H8" s="98"/>
      <c r="I8" s="99">
        <f>Kalkulace!J8</f>
        <v>40</v>
      </c>
      <c r="M8" s="76"/>
      <c r="N8" s="76"/>
      <c r="O8" s="92"/>
      <c r="P8" s="92"/>
      <c r="Q8" s="77"/>
      <c r="R8" s="77"/>
      <c r="S8" s="108" t="str">
        <f>IF(R7&gt;3000,"Na požadovanou délku bude topný schod mít víc lamelových výměníků - je potřeba konzultace !!","")</f>
        <v/>
      </c>
      <c r="T8" s="76"/>
      <c r="U8" s="76"/>
      <c r="V8" s="92"/>
      <c r="W8" s="77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1:76" s="114" customFormat="1" ht="21.75" customHeight="1" x14ac:dyDescent="0.25">
      <c r="A9" s="109"/>
      <c r="B9" s="110"/>
      <c r="C9" s="111"/>
      <c r="D9" s="112"/>
      <c r="E9" s="111"/>
      <c r="F9" s="112"/>
      <c r="G9" s="111"/>
      <c r="H9" s="112"/>
      <c r="I9" s="110"/>
      <c r="J9" s="109"/>
      <c r="K9" s="109"/>
      <c r="L9" s="110"/>
      <c r="M9" s="110"/>
      <c r="N9" s="78"/>
      <c r="O9" s="113"/>
      <c r="P9" s="113"/>
      <c r="Q9" s="113"/>
      <c r="S9" s="78"/>
      <c r="T9" s="78"/>
      <c r="U9" s="78"/>
      <c r="V9" s="78"/>
      <c r="W9" s="78"/>
      <c r="X9" s="78"/>
      <c r="Y9" s="109"/>
      <c r="Z9" s="109"/>
      <c r="AA9" s="109"/>
      <c r="AB9" s="109"/>
      <c r="AC9" s="109"/>
      <c r="AD9" s="109"/>
      <c r="AE9" s="109"/>
      <c r="AF9" s="109"/>
      <c r="AG9" s="109"/>
      <c r="AH9" s="109"/>
    </row>
    <row r="10" spans="1:76" ht="18.75" customHeight="1" thickBot="1" x14ac:dyDescent="0.3">
      <c r="A10" s="76"/>
      <c r="B10" s="77"/>
      <c r="C10" s="78"/>
      <c r="D10" s="79"/>
      <c r="E10" s="77"/>
      <c r="F10" s="79"/>
      <c r="G10" s="77"/>
      <c r="H10" s="79"/>
      <c r="I10" s="80"/>
      <c r="J10" s="115"/>
      <c r="K10" s="115"/>
      <c r="L10" s="115"/>
      <c r="M10" s="115"/>
      <c r="N10" s="115"/>
      <c r="O10" s="115"/>
      <c r="P10" s="115"/>
      <c r="Q10" s="115"/>
      <c r="R10" s="115"/>
      <c r="S10" s="77"/>
      <c r="T10" s="77"/>
      <c r="U10" s="77"/>
      <c r="V10" s="78"/>
      <c r="W10" s="77"/>
      <c r="X10" s="77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BD10" s="215"/>
      <c r="BE10" s="215"/>
      <c r="BF10" s="215"/>
    </row>
    <row r="11" spans="1:76" ht="33.75" customHeight="1" thickBot="1" x14ac:dyDescent="0.3">
      <c r="A11" s="76"/>
      <c r="B11" s="247" t="s">
        <v>8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117"/>
      <c r="S11" s="117"/>
      <c r="T11" s="118" t="s">
        <v>28</v>
      </c>
      <c r="U11" s="119">
        <f>AE5-AE6</f>
        <v>30</v>
      </c>
      <c r="V11" s="120"/>
      <c r="W11" s="121"/>
      <c r="X11" s="121"/>
      <c r="Y11" s="122"/>
      <c r="Z11" s="122"/>
      <c r="AA11" s="122"/>
      <c r="AB11" s="122"/>
      <c r="AC11" s="122"/>
      <c r="AD11" s="122"/>
      <c r="AE11" s="122"/>
      <c r="AF11" s="122"/>
      <c r="AG11" s="122"/>
      <c r="AH11" s="123"/>
      <c r="BD11" s="124"/>
      <c r="BE11" s="124"/>
      <c r="BF11" s="124"/>
    </row>
    <row r="12" spans="1:76" s="116" customFormat="1" ht="23.25" customHeight="1" thickBot="1" x14ac:dyDescent="0.3">
      <c r="A12" s="125"/>
      <c r="B12" s="249" t="s">
        <v>10</v>
      </c>
      <c r="C12" s="250"/>
      <c r="D12" s="250"/>
      <c r="E12" s="250"/>
      <c r="F12" s="250"/>
      <c r="G12" s="250"/>
      <c r="H12" s="250"/>
      <c r="I12" s="251"/>
      <c r="J12" s="252" t="s">
        <v>11</v>
      </c>
      <c r="K12" s="253"/>
      <c r="L12" s="126">
        <f>R7</f>
        <v>1200</v>
      </c>
      <c r="M12" s="126">
        <f>L12+100</f>
        <v>1300</v>
      </c>
      <c r="N12" s="126">
        <f t="shared" ref="N12:AH12" si="0">M12+100</f>
        <v>1400</v>
      </c>
      <c r="O12" s="126">
        <f t="shared" si="0"/>
        <v>1500</v>
      </c>
      <c r="P12" s="126">
        <f t="shared" si="0"/>
        <v>1600</v>
      </c>
      <c r="Q12" s="126">
        <f t="shared" si="0"/>
        <v>1700</v>
      </c>
      <c r="R12" s="126">
        <f t="shared" si="0"/>
        <v>1800</v>
      </c>
      <c r="S12" s="126">
        <f t="shared" si="0"/>
        <v>1900</v>
      </c>
      <c r="T12" s="126">
        <f t="shared" si="0"/>
        <v>2000</v>
      </c>
      <c r="U12" s="126">
        <f t="shared" si="0"/>
        <v>2100</v>
      </c>
      <c r="V12" s="126">
        <f t="shared" si="0"/>
        <v>2200</v>
      </c>
      <c r="W12" s="126">
        <f t="shared" si="0"/>
        <v>2300</v>
      </c>
      <c r="X12" s="126">
        <f t="shared" si="0"/>
        <v>2400</v>
      </c>
      <c r="Y12" s="126">
        <f t="shared" si="0"/>
        <v>2500</v>
      </c>
      <c r="Z12" s="126">
        <f t="shared" si="0"/>
        <v>2600</v>
      </c>
      <c r="AA12" s="126">
        <f t="shared" si="0"/>
        <v>2700</v>
      </c>
      <c r="AB12" s="126">
        <f t="shared" si="0"/>
        <v>2800</v>
      </c>
      <c r="AC12" s="126">
        <f t="shared" si="0"/>
        <v>2900</v>
      </c>
      <c r="AD12" s="126">
        <f t="shared" si="0"/>
        <v>3000</v>
      </c>
      <c r="AE12" s="126">
        <f t="shared" si="0"/>
        <v>3100</v>
      </c>
      <c r="AF12" s="126">
        <f t="shared" si="0"/>
        <v>3200</v>
      </c>
      <c r="AG12" s="126">
        <f t="shared" si="0"/>
        <v>3300</v>
      </c>
      <c r="AH12" s="127">
        <f t="shared" si="0"/>
        <v>3400</v>
      </c>
      <c r="AI12" s="128"/>
      <c r="AJ12" s="128"/>
      <c r="AK12" s="129"/>
      <c r="AL12" s="216"/>
      <c r="AM12" s="216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8"/>
      <c r="AZ12" s="217"/>
      <c r="BA12" s="217"/>
      <c r="BB12" s="217"/>
      <c r="BC12" s="217"/>
      <c r="BD12" s="217"/>
      <c r="BE12" s="217"/>
      <c r="BF12" s="217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</row>
    <row r="13" spans="1:76" s="124" customFormat="1" ht="21.75" customHeight="1" thickBot="1" x14ac:dyDescent="0.3">
      <c r="A13" s="133"/>
      <c r="B13" s="134" t="s">
        <v>13</v>
      </c>
      <c r="C13" s="135">
        <v>118</v>
      </c>
      <c r="D13" s="136" t="s">
        <v>14</v>
      </c>
      <c r="E13" s="135">
        <f>$R$6</f>
        <v>160</v>
      </c>
      <c r="F13" s="136" t="s">
        <v>14</v>
      </c>
      <c r="G13" s="135" t="s">
        <v>15</v>
      </c>
      <c r="H13" s="136" t="s">
        <v>14</v>
      </c>
      <c r="I13" s="135">
        <v>160</v>
      </c>
      <c r="J13" s="243" t="s">
        <v>16</v>
      </c>
      <c r="K13" s="244"/>
      <c r="L13" s="137">
        <f>((EXP(LN(($AE$5-$AE$6)/50)*1.4))*$V$52)/100*($R$7-200)/10</f>
        <v>177.93741726958623</v>
      </c>
      <c r="M13" s="137">
        <f t="shared" ref="M13:AH13" si="1">((EXP(LN(($AE$5-$AE$6)/50)*1.4))*$V$52)/100*(M12-200)/10</f>
        <v>195.73115899654485</v>
      </c>
      <c r="N13" s="137">
        <f t="shared" si="1"/>
        <v>213.52490072350346</v>
      </c>
      <c r="O13" s="137">
        <f t="shared" si="1"/>
        <v>231.31864245046208</v>
      </c>
      <c r="P13" s="137">
        <f t="shared" si="1"/>
        <v>249.11238417742069</v>
      </c>
      <c r="Q13" s="137">
        <f t="shared" si="1"/>
        <v>266.90612590437934</v>
      </c>
      <c r="R13" s="137">
        <f t="shared" si="1"/>
        <v>284.69986763133795</v>
      </c>
      <c r="S13" s="137">
        <f t="shared" si="1"/>
        <v>302.49360935829657</v>
      </c>
      <c r="T13" s="137">
        <f t="shared" si="1"/>
        <v>320.28735108525518</v>
      </c>
      <c r="U13" s="137">
        <f t="shared" si="1"/>
        <v>338.0810928122138</v>
      </c>
      <c r="V13" s="137">
        <f t="shared" si="1"/>
        <v>355.87483453917247</v>
      </c>
      <c r="W13" s="137">
        <f t="shared" si="1"/>
        <v>373.66857626613108</v>
      </c>
      <c r="X13" s="137">
        <f t="shared" si="1"/>
        <v>391.4623179930897</v>
      </c>
      <c r="Y13" s="137">
        <f t="shared" si="1"/>
        <v>409.25605972004831</v>
      </c>
      <c r="Z13" s="137">
        <f t="shared" si="1"/>
        <v>427.04980144700693</v>
      </c>
      <c r="AA13" s="137">
        <f t="shared" si="1"/>
        <v>444.84354317396554</v>
      </c>
      <c r="AB13" s="137">
        <f t="shared" si="1"/>
        <v>462.63728490092416</v>
      </c>
      <c r="AC13" s="137">
        <f t="shared" si="1"/>
        <v>480.43102662788277</v>
      </c>
      <c r="AD13" s="137">
        <f t="shared" si="1"/>
        <v>498.22476835484139</v>
      </c>
      <c r="AE13" s="137">
        <f t="shared" si="1"/>
        <v>516.01851008180006</v>
      </c>
      <c r="AF13" s="137">
        <f t="shared" si="1"/>
        <v>533.81225180875867</v>
      </c>
      <c r="AG13" s="137">
        <f t="shared" si="1"/>
        <v>551.60599353571729</v>
      </c>
      <c r="AH13" s="138">
        <f t="shared" si="1"/>
        <v>569.3997352626759</v>
      </c>
      <c r="AI13" s="139"/>
      <c r="AJ13" s="139"/>
      <c r="AK13" s="107"/>
      <c r="AL13" s="219"/>
      <c r="AM13" s="219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114"/>
      <c r="AZ13" s="82"/>
      <c r="BA13" s="82"/>
      <c r="BB13" s="82"/>
      <c r="BC13" s="82"/>
      <c r="BD13" s="82"/>
      <c r="BE13" s="82"/>
      <c r="BF13" s="82"/>
    </row>
    <row r="14" spans="1:76" s="124" customFormat="1" ht="21.75" customHeight="1" thickBot="1" x14ac:dyDescent="0.3">
      <c r="A14" s="133"/>
      <c r="B14" s="134" t="s">
        <v>13</v>
      </c>
      <c r="C14" s="135">
        <v>218</v>
      </c>
      <c r="D14" s="136" t="s">
        <v>14</v>
      </c>
      <c r="E14" s="135">
        <f>$R$6</f>
        <v>160</v>
      </c>
      <c r="F14" s="136" t="s">
        <v>14</v>
      </c>
      <c r="G14" s="135" t="s">
        <v>15</v>
      </c>
      <c r="H14" s="136" t="s">
        <v>14</v>
      </c>
      <c r="I14" s="135">
        <v>240</v>
      </c>
      <c r="J14" s="243" t="s">
        <v>18</v>
      </c>
      <c r="K14" s="256"/>
      <c r="L14" s="137">
        <f t="shared" ref="L14:AH14" si="2">L13*1.87</f>
        <v>332.74297029412628</v>
      </c>
      <c r="M14" s="137">
        <f t="shared" si="2"/>
        <v>366.01726732353887</v>
      </c>
      <c r="N14" s="137">
        <f t="shared" si="2"/>
        <v>399.29156435295153</v>
      </c>
      <c r="O14" s="137">
        <f t="shared" si="2"/>
        <v>432.56586138236412</v>
      </c>
      <c r="P14" s="137">
        <f t="shared" si="2"/>
        <v>465.84015841177671</v>
      </c>
      <c r="Q14" s="137">
        <f t="shared" si="2"/>
        <v>499.11445544118936</v>
      </c>
      <c r="R14" s="137">
        <f t="shared" si="2"/>
        <v>532.38875247060196</v>
      </c>
      <c r="S14" s="137">
        <f t="shared" si="2"/>
        <v>565.66304950001461</v>
      </c>
      <c r="T14" s="137">
        <f t="shared" si="2"/>
        <v>598.93734652942726</v>
      </c>
      <c r="U14" s="137">
        <f t="shared" si="2"/>
        <v>632.2116435588398</v>
      </c>
      <c r="V14" s="137">
        <f t="shared" si="2"/>
        <v>665.48594058825256</v>
      </c>
      <c r="W14" s="137">
        <f t="shared" si="2"/>
        <v>698.76023761766521</v>
      </c>
      <c r="X14" s="137">
        <f t="shared" si="2"/>
        <v>732.03453464707775</v>
      </c>
      <c r="Y14" s="137">
        <f t="shared" si="2"/>
        <v>765.3088316764904</v>
      </c>
      <c r="Z14" s="137">
        <f t="shared" si="2"/>
        <v>798.58312870590305</v>
      </c>
      <c r="AA14" s="137">
        <f t="shared" si="2"/>
        <v>831.85742573531559</v>
      </c>
      <c r="AB14" s="137">
        <f t="shared" si="2"/>
        <v>865.13172276472824</v>
      </c>
      <c r="AC14" s="137">
        <f t="shared" si="2"/>
        <v>898.40601979414089</v>
      </c>
      <c r="AD14" s="137">
        <f t="shared" si="2"/>
        <v>931.68031682355343</v>
      </c>
      <c r="AE14" s="137">
        <f t="shared" si="2"/>
        <v>964.95461385296619</v>
      </c>
      <c r="AF14" s="137">
        <f t="shared" si="2"/>
        <v>998.22891088237873</v>
      </c>
      <c r="AG14" s="137">
        <f t="shared" si="2"/>
        <v>1031.5032079117914</v>
      </c>
      <c r="AH14" s="138">
        <f t="shared" si="2"/>
        <v>1064.7775049412039</v>
      </c>
      <c r="AI14" s="139"/>
      <c r="AJ14" s="139"/>
      <c r="AK14" s="139"/>
    </row>
    <row r="15" spans="1:76" s="124" customFormat="1" ht="21.75" customHeight="1" thickBot="1" x14ac:dyDescent="0.25">
      <c r="A15" s="133"/>
      <c r="B15" s="134" t="s">
        <v>13</v>
      </c>
      <c r="C15" s="135">
        <v>318</v>
      </c>
      <c r="D15" s="136" t="s">
        <v>14</v>
      </c>
      <c r="E15" s="135">
        <f>$R$6</f>
        <v>160</v>
      </c>
      <c r="F15" s="136" t="s">
        <v>14</v>
      </c>
      <c r="G15" s="135" t="s">
        <v>15</v>
      </c>
      <c r="H15" s="136" t="s">
        <v>14</v>
      </c>
      <c r="I15" s="135">
        <v>300</v>
      </c>
      <c r="J15" s="243" t="s">
        <v>19</v>
      </c>
      <c r="K15" s="256"/>
      <c r="L15" s="137">
        <f>L13*2.36</f>
        <v>419.93230475622352</v>
      </c>
      <c r="M15" s="137">
        <f>M13*2.36</f>
        <v>461.9255352318458</v>
      </c>
      <c r="N15" s="137">
        <f>N13*2.36</f>
        <v>503.91876570746814</v>
      </c>
      <c r="O15" s="137">
        <f>O13*2.36</f>
        <v>545.91199618309042</v>
      </c>
      <c r="P15" s="137">
        <f>P13*2.36</f>
        <v>587.90522665871276</v>
      </c>
      <c r="Q15" s="137">
        <f t="shared" ref="Q15:AH15" si="3">Q13*2.543</f>
        <v>678.74227817483666</v>
      </c>
      <c r="R15" s="137">
        <f t="shared" si="3"/>
        <v>723.99176338649249</v>
      </c>
      <c r="S15" s="137">
        <f t="shared" si="3"/>
        <v>769.24124859814822</v>
      </c>
      <c r="T15" s="137">
        <f t="shared" si="3"/>
        <v>814.49073380980394</v>
      </c>
      <c r="U15" s="137">
        <f t="shared" si="3"/>
        <v>859.74021902145978</v>
      </c>
      <c r="V15" s="137">
        <f t="shared" si="3"/>
        <v>904.98970423311562</v>
      </c>
      <c r="W15" s="137">
        <f t="shared" si="3"/>
        <v>950.23918944477145</v>
      </c>
      <c r="X15" s="137">
        <f t="shared" si="3"/>
        <v>995.48867465642718</v>
      </c>
      <c r="Y15" s="137">
        <f t="shared" si="3"/>
        <v>1040.7381598680829</v>
      </c>
      <c r="Z15" s="137">
        <f t="shared" si="3"/>
        <v>1085.9876450797387</v>
      </c>
      <c r="AA15" s="137">
        <f t="shared" si="3"/>
        <v>1131.2371302913944</v>
      </c>
      <c r="AB15" s="137">
        <f t="shared" si="3"/>
        <v>1176.4866155030502</v>
      </c>
      <c r="AC15" s="137">
        <f t="shared" si="3"/>
        <v>1221.736100714706</v>
      </c>
      <c r="AD15" s="137">
        <f t="shared" si="3"/>
        <v>1266.9855859263616</v>
      </c>
      <c r="AE15" s="137">
        <f t="shared" si="3"/>
        <v>1312.2350711380177</v>
      </c>
      <c r="AF15" s="137">
        <f t="shared" si="3"/>
        <v>1357.4845563496733</v>
      </c>
      <c r="AG15" s="137">
        <f t="shared" si="3"/>
        <v>1402.7340415613291</v>
      </c>
      <c r="AH15" s="138">
        <f t="shared" si="3"/>
        <v>1447.983526772985</v>
      </c>
      <c r="AI15" s="139"/>
      <c r="AJ15" s="139"/>
      <c r="AK15" s="86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</row>
    <row r="16" spans="1:76" ht="26.25" customHeight="1" thickBot="1" x14ac:dyDescent="0.3">
      <c r="A16" s="76"/>
      <c r="B16" s="247" t="s">
        <v>9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T16" s="118" t="s">
        <v>28</v>
      </c>
      <c r="U16" s="119">
        <f>U11</f>
        <v>30</v>
      </c>
      <c r="V16" s="120"/>
      <c r="W16" s="121"/>
      <c r="X16" s="121"/>
      <c r="Y16" s="122"/>
      <c r="Z16" s="122"/>
      <c r="AA16" s="122"/>
      <c r="AB16" s="122"/>
      <c r="AC16" s="122"/>
      <c r="AD16" s="122"/>
      <c r="AE16" s="122"/>
      <c r="AF16" s="122"/>
      <c r="AG16" s="122"/>
      <c r="AH16" s="123"/>
      <c r="AI16" s="86"/>
      <c r="AJ16" s="86"/>
      <c r="AK16" s="139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</row>
    <row r="17" spans="1:76" s="124" customFormat="1" ht="21.75" customHeight="1" thickBot="1" x14ac:dyDescent="0.3">
      <c r="A17" s="133"/>
      <c r="B17" s="141" t="s">
        <v>17</v>
      </c>
      <c r="C17" s="135">
        <v>118</v>
      </c>
      <c r="D17" s="136" t="s">
        <v>14</v>
      </c>
      <c r="E17" s="135">
        <f>$R$6</f>
        <v>160</v>
      </c>
      <c r="F17" s="136" t="s">
        <v>14</v>
      </c>
      <c r="G17" s="135" t="s">
        <v>15</v>
      </c>
      <c r="H17" s="136" t="s">
        <v>14</v>
      </c>
      <c r="I17" s="142">
        <v>160</v>
      </c>
      <c r="J17" s="243" t="s">
        <v>16</v>
      </c>
      <c r="K17" s="244"/>
      <c r="L17" s="137">
        <f t="shared" ref="L17:AH17" si="4">L33/L24*L13</f>
        <v>507.92936556103848</v>
      </c>
      <c r="M17" s="137">
        <f t="shared" si="4"/>
        <v>558.72230211714225</v>
      </c>
      <c r="N17" s="137">
        <f t="shared" si="4"/>
        <v>609.51523867351443</v>
      </c>
      <c r="O17" s="137">
        <f t="shared" si="4"/>
        <v>660.30817522964048</v>
      </c>
      <c r="P17" s="137">
        <f t="shared" si="4"/>
        <v>711.10111178545367</v>
      </c>
      <c r="Q17" s="137">
        <f t="shared" si="4"/>
        <v>761.8940483414458</v>
      </c>
      <c r="R17" s="137">
        <f t="shared" si="4"/>
        <v>812.68698489766143</v>
      </c>
      <c r="S17" s="137">
        <f t="shared" si="4"/>
        <v>863.47992145389185</v>
      </c>
      <c r="T17" s="137">
        <f t="shared" si="4"/>
        <v>914.27285801013738</v>
      </c>
      <c r="U17" s="137">
        <f t="shared" si="4"/>
        <v>965.06579456597308</v>
      </c>
      <c r="V17" s="137">
        <f t="shared" si="4"/>
        <v>1015.8587311219281</v>
      </c>
      <c r="W17" s="137">
        <f t="shared" si="4"/>
        <v>1066.6516676783376</v>
      </c>
      <c r="X17" s="137">
        <f t="shared" si="4"/>
        <v>1117.4446042344484</v>
      </c>
      <c r="Y17" s="137">
        <f t="shared" si="4"/>
        <v>1168.2375407905595</v>
      </c>
      <c r="Z17" s="137">
        <f t="shared" si="4"/>
        <v>1219.0304773466712</v>
      </c>
      <c r="AA17" s="137">
        <f t="shared" si="4"/>
        <v>1269.8234139025956</v>
      </c>
      <c r="AB17" s="137">
        <f t="shared" si="4"/>
        <v>1320.6163504588937</v>
      </c>
      <c r="AC17" s="137">
        <f t="shared" si="4"/>
        <v>1371.4092870146026</v>
      </c>
      <c r="AD17" s="137">
        <f t="shared" si="4"/>
        <v>1422.2022235713252</v>
      </c>
      <c r="AE17" s="137">
        <f t="shared" si="4"/>
        <v>1472.9951601272276</v>
      </c>
      <c r="AF17" s="137">
        <f t="shared" si="4"/>
        <v>1523.7880966833391</v>
      </c>
      <c r="AG17" s="137">
        <f t="shared" si="4"/>
        <v>1574.5810332392193</v>
      </c>
      <c r="AH17" s="138">
        <f t="shared" si="4"/>
        <v>1625.3739697955616</v>
      </c>
      <c r="AI17" s="139"/>
      <c r="AJ17" s="139"/>
      <c r="AK17" s="139"/>
    </row>
    <row r="18" spans="1:76" s="124" customFormat="1" ht="21.75" customHeight="1" thickBot="1" x14ac:dyDescent="0.3">
      <c r="A18" s="133"/>
      <c r="B18" s="141" t="s">
        <v>17</v>
      </c>
      <c r="C18" s="135">
        <v>218</v>
      </c>
      <c r="D18" s="136" t="s">
        <v>14</v>
      </c>
      <c r="E18" s="135">
        <f>$R$6</f>
        <v>160</v>
      </c>
      <c r="F18" s="136" t="s">
        <v>14</v>
      </c>
      <c r="G18" s="135" t="s">
        <v>15</v>
      </c>
      <c r="H18" s="136" t="s">
        <v>14</v>
      </c>
      <c r="I18" s="142">
        <v>240</v>
      </c>
      <c r="J18" s="243" t="s">
        <v>18</v>
      </c>
      <c r="K18" s="256"/>
      <c r="L18" s="137">
        <f t="shared" ref="L18:AH18" si="5">L37/L28*L14</f>
        <v>596.62450666435575</v>
      </c>
      <c r="M18" s="137">
        <f t="shared" si="5"/>
        <v>597.2052655581565</v>
      </c>
      <c r="N18" s="137">
        <f t="shared" si="5"/>
        <v>651.49665333636176</v>
      </c>
      <c r="O18" s="137">
        <f t="shared" si="5"/>
        <v>705.78804111397767</v>
      </c>
      <c r="P18" s="137">
        <f t="shared" si="5"/>
        <v>760.07942889197579</v>
      </c>
      <c r="Q18" s="137">
        <f t="shared" si="5"/>
        <v>814.37081667033249</v>
      </c>
      <c r="R18" s="137">
        <f t="shared" si="5"/>
        <v>868.66220444809994</v>
      </c>
      <c r="S18" s="137">
        <f t="shared" si="5"/>
        <v>922.95359222624177</v>
      </c>
      <c r="T18" s="137">
        <f t="shared" si="5"/>
        <v>977.24498000411268</v>
      </c>
      <c r="U18" s="137">
        <f t="shared" si="5"/>
        <v>1031.5363677824212</v>
      </c>
      <c r="V18" s="137">
        <f t="shared" si="5"/>
        <v>1085.8277555604438</v>
      </c>
      <c r="W18" s="137">
        <f t="shared" si="5"/>
        <v>1140.1191433381312</v>
      </c>
      <c r="X18" s="137">
        <f t="shared" si="5"/>
        <v>1194.410531116137</v>
      </c>
      <c r="Y18" s="137">
        <f t="shared" si="5"/>
        <v>1248.7019188945103</v>
      </c>
      <c r="Z18" s="137">
        <f t="shared" si="5"/>
        <v>1302.9933066725323</v>
      </c>
      <c r="AA18" s="137">
        <f t="shared" si="5"/>
        <v>1357.2846944503553</v>
      </c>
      <c r="AB18" s="137">
        <f t="shared" si="5"/>
        <v>1411.5760822279549</v>
      </c>
      <c r="AC18" s="137">
        <f t="shared" si="5"/>
        <v>1465.8674700057388</v>
      </c>
      <c r="AD18" s="137">
        <f t="shared" si="5"/>
        <v>1520.1588577843977</v>
      </c>
      <c r="AE18" s="137">
        <f t="shared" si="5"/>
        <v>1574.4502455619502</v>
      </c>
      <c r="AF18" s="137">
        <f t="shared" si="5"/>
        <v>1628.7416333406657</v>
      </c>
      <c r="AG18" s="137">
        <f t="shared" si="5"/>
        <v>1683.0330211176988</v>
      </c>
      <c r="AH18" s="138">
        <f t="shared" si="5"/>
        <v>1737.3244088961994</v>
      </c>
      <c r="AI18" s="139"/>
      <c r="AJ18" s="139"/>
      <c r="AK18" s="139"/>
    </row>
    <row r="19" spans="1:76" s="124" customFormat="1" ht="21.75" customHeight="1" thickBot="1" x14ac:dyDescent="0.25">
      <c r="A19" s="133"/>
      <c r="B19" s="141" t="s">
        <v>17</v>
      </c>
      <c r="C19" s="135">
        <v>318</v>
      </c>
      <c r="D19" s="136" t="s">
        <v>14</v>
      </c>
      <c r="E19" s="135">
        <f>$R$6</f>
        <v>160</v>
      </c>
      <c r="F19" s="136" t="s">
        <v>14</v>
      </c>
      <c r="G19" s="135" t="s">
        <v>15</v>
      </c>
      <c r="H19" s="136" t="s">
        <v>14</v>
      </c>
      <c r="I19" s="142">
        <v>300</v>
      </c>
      <c r="J19" s="243" t="s">
        <v>19</v>
      </c>
      <c r="K19" s="256"/>
      <c r="L19" s="137">
        <f t="shared" ref="L19:AH19" si="6">L39/L30*L15</f>
        <v>761.63513861131639</v>
      </c>
      <c r="M19" s="137">
        <f t="shared" si="6"/>
        <v>837.7986524723251</v>
      </c>
      <c r="N19" s="137">
        <f t="shared" si="6"/>
        <v>913.96216633371387</v>
      </c>
      <c r="O19" s="137">
        <f t="shared" si="6"/>
        <v>990.1256801945658</v>
      </c>
      <c r="P19" s="137">
        <f t="shared" si="6"/>
        <v>1066.2891940561562</v>
      </c>
      <c r="Q19" s="137">
        <f t="shared" si="6"/>
        <v>1231.0412017939491</v>
      </c>
      <c r="R19" s="137">
        <f t="shared" si="6"/>
        <v>1313.1106152466862</v>
      </c>
      <c r="S19" s="137">
        <f t="shared" si="6"/>
        <v>1395.1800286998093</v>
      </c>
      <c r="T19" s="137">
        <f t="shared" si="6"/>
        <v>1477.2494421523052</v>
      </c>
      <c r="U19" s="137">
        <f t="shared" si="6"/>
        <v>1559.3188556056687</v>
      </c>
      <c r="V19" s="137">
        <f t="shared" si="6"/>
        <v>1641.3882690583584</v>
      </c>
      <c r="W19" s="137">
        <f t="shared" si="6"/>
        <v>1723.4576825112763</v>
      </c>
      <c r="X19" s="137">
        <f t="shared" si="6"/>
        <v>1805.5270959636637</v>
      </c>
      <c r="Y19" s="137">
        <f t="shared" si="6"/>
        <v>1887.5965094157264</v>
      </c>
      <c r="Z19" s="137">
        <f t="shared" si="6"/>
        <v>1969.6659228700291</v>
      </c>
      <c r="AA19" s="137">
        <f t="shared" si="6"/>
        <v>2051.7353363229472</v>
      </c>
      <c r="AB19" s="137">
        <f t="shared" si="6"/>
        <v>2133.8047497758653</v>
      </c>
      <c r="AC19" s="137">
        <f t="shared" si="6"/>
        <v>2215.8741632287833</v>
      </c>
      <c r="AD19" s="137">
        <f t="shared" si="6"/>
        <v>2297.9435766810257</v>
      </c>
      <c r="AE19" s="137">
        <f t="shared" si="6"/>
        <v>2380.012990134619</v>
      </c>
      <c r="AF19" s="137">
        <f t="shared" si="6"/>
        <v>2462.0824035875348</v>
      </c>
      <c r="AG19" s="137">
        <f t="shared" si="6"/>
        <v>2544.1518170404538</v>
      </c>
      <c r="AH19" s="138">
        <f t="shared" si="6"/>
        <v>2626.221230493371</v>
      </c>
      <c r="AI19" s="139"/>
      <c r="AJ19" s="139"/>
      <c r="AK19" s="86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</row>
    <row r="20" spans="1:76" s="124" customFormat="1" ht="18.75" customHeight="1" thickBot="1" x14ac:dyDescent="0.25">
      <c r="A20" s="133">
        <v>1</v>
      </c>
      <c r="B20" s="143">
        <v>2</v>
      </c>
      <c r="C20" s="133">
        <v>3</v>
      </c>
      <c r="D20" s="143">
        <v>4</v>
      </c>
      <c r="E20" s="133">
        <v>5</v>
      </c>
      <c r="F20" s="143">
        <v>6</v>
      </c>
      <c r="G20" s="133">
        <v>7</v>
      </c>
      <c r="H20" s="143">
        <v>8</v>
      </c>
      <c r="I20" s="133">
        <v>9</v>
      </c>
      <c r="J20" s="143">
        <v>10</v>
      </c>
      <c r="K20" s="133">
        <v>11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39"/>
      <c r="AJ20" s="139"/>
      <c r="AK20" s="86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</row>
    <row r="21" spans="1:76" s="148" customFormat="1" ht="30.75" customHeight="1" thickBot="1" x14ac:dyDescent="0.3">
      <c r="A21" s="145"/>
      <c r="B21" s="257" t="s">
        <v>29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146"/>
      <c r="S21" s="146"/>
      <c r="T21" s="118" t="s">
        <v>28</v>
      </c>
      <c r="U21" s="119">
        <f>U11</f>
        <v>30</v>
      </c>
      <c r="V21" s="120"/>
      <c r="W21" s="121"/>
      <c r="X21" s="121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147"/>
      <c r="AJ21" s="147"/>
      <c r="AK21" s="86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</row>
    <row r="22" spans="1:76" s="116" customFormat="1" ht="22.5" customHeight="1" thickBot="1" x14ac:dyDescent="0.3">
      <c r="A22" s="125"/>
      <c r="B22" s="249" t="s">
        <v>10</v>
      </c>
      <c r="C22" s="250"/>
      <c r="D22" s="250"/>
      <c r="E22" s="250"/>
      <c r="F22" s="250"/>
      <c r="G22" s="250"/>
      <c r="H22" s="250"/>
      <c r="I22" s="251"/>
      <c r="J22" s="252" t="s">
        <v>11</v>
      </c>
      <c r="K22" s="253"/>
      <c r="L22" s="126">
        <v>800</v>
      </c>
      <c r="M22" s="126">
        <v>900</v>
      </c>
      <c r="N22" s="126">
        <v>1000</v>
      </c>
      <c r="O22" s="126">
        <v>1100</v>
      </c>
      <c r="P22" s="126">
        <v>1200</v>
      </c>
      <c r="Q22" s="126">
        <v>1300</v>
      </c>
      <c r="R22" s="126">
        <v>1400</v>
      </c>
      <c r="S22" s="126">
        <v>1500</v>
      </c>
      <c r="T22" s="126">
        <v>1600</v>
      </c>
      <c r="U22" s="126">
        <v>1700</v>
      </c>
      <c r="V22" s="126">
        <v>1800</v>
      </c>
      <c r="W22" s="126">
        <v>1900</v>
      </c>
      <c r="X22" s="126">
        <v>2000</v>
      </c>
      <c r="Y22" s="126">
        <v>2100</v>
      </c>
      <c r="Z22" s="126">
        <v>2200</v>
      </c>
      <c r="AA22" s="126">
        <v>2300</v>
      </c>
      <c r="AB22" s="126">
        <v>2400</v>
      </c>
      <c r="AC22" s="126">
        <v>2500</v>
      </c>
      <c r="AD22" s="126">
        <v>2600</v>
      </c>
      <c r="AE22" s="126">
        <v>2700</v>
      </c>
      <c r="AF22" s="126">
        <v>2800</v>
      </c>
      <c r="AG22" s="126">
        <v>2900</v>
      </c>
      <c r="AH22" s="127">
        <v>3000</v>
      </c>
      <c r="AI22" s="128"/>
      <c r="AJ22" s="128"/>
      <c r="AK22" s="129"/>
      <c r="AL22" s="216"/>
      <c r="AM22" s="216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8"/>
      <c r="AZ22" s="217"/>
      <c r="BA22" s="217"/>
      <c r="BB22" s="217"/>
      <c r="BC22" s="217"/>
      <c r="BD22" s="217"/>
      <c r="BE22" s="217"/>
      <c r="BF22" s="217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</row>
    <row r="23" spans="1:76" s="116" customFormat="1" ht="21.75" customHeight="1" thickBot="1" x14ac:dyDescent="0.3">
      <c r="A23" s="125"/>
      <c r="B23" s="134" t="s">
        <v>13</v>
      </c>
      <c r="C23" s="135">
        <v>510</v>
      </c>
      <c r="D23" s="136" t="s">
        <v>14</v>
      </c>
      <c r="E23" s="135">
        <f t="shared" ref="E23:E30" si="7">$R$6</f>
        <v>160</v>
      </c>
      <c r="F23" s="136" t="s">
        <v>14</v>
      </c>
      <c r="G23" s="135" t="s">
        <v>15</v>
      </c>
      <c r="H23" s="136" t="s">
        <v>14</v>
      </c>
      <c r="I23" s="135">
        <v>160</v>
      </c>
      <c r="J23" s="254" t="s">
        <v>20</v>
      </c>
      <c r="K23" s="255"/>
      <c r="L23" s="149">
        <f>L24/1.14</f>
        <v>106.25458027041465</v>
      </c>
      <c r="M23" s="149">
        <f>M24/1.14</f>
        <v>133.49934444231857</v>
      </c>
      <c r="N23" s="149">
        <f>N24/1.14</f>
        <v>160.74410861419855</v>
      </c>
      <c r="O23" s="150">
        <f t="shared" ref="O23:AH23" si="8">O24/1.3</f>
        <v>164.85178075088089</v>
      </c>
      <c r="P23" s="150">
        <f t="shared" si="8"/>
        <v>188.743343178575</v>
      </c>
      <c r="Q23" s="150">
        <f t="shared" si="8"/>
        <v>212.63490560626974</v>
      </c>
      <c r="R23" s="150">
        <f t="shared" si="8"/>
        <v>236.52646803389879</v>
      </c>
      <c r="S23" s="150">
        <f t="shared" si="8"/>
        <v>260.41803046161669</v>
      </c>
      <c r="T23" s="150">
        <f t="shared" si="8"/>
        <v>284.30959288919348</v>
      </c>
      <c r="U23" s="150">
        <f t="shared" si="8"/>
        <v>308.20115531693608</v>
      </c>
      <c r="V23" s="150">
        <f t="shared" si="8"/>
        <v>332.09271774469926</v>
      </c>
      <c r="W23" s="150">
        <f t="shared" si="8"/>
        <v>355.98428017222062</v>
      </c>
      <c r="X23" s="150">
        <f t="shared" si="8"/>
        <v>379.87584259991633</v>
      </c>
      <c r="Y23" s="150">
        <f t="shared" si="8"/>
        <v>403.76740502759202</v>
      </c>
      <c r="Z23" s="150">
        <f t="shared" si="8"/>
        <v>427.65896745523054</v>
      </c>
      <c r="AA23" s="150">
        <f t="shared" si="8"/>
        <v>451.5505298829255</v>
      </c>
      <c r="AB23" s="150">
        <f t="shared" si="8"/>
        <v>475.44209231068311</v>
      </c>
      <c r="AC23" s="150">
        <f t="shared" si="8"/>
        <v>499.33365473827604</v>
      </c>
      <c r="AD23" s="150">
        <f t="shared" si="8"/>
        <v>523.22521716588028</v>
      </c>
      <c r="AE23" s="150">
        <f t="shared" si="8"/>
        <v>547.11677959366443</v>
      </c>
      <c r="AF23" s="150">
        <f t="shared" si="8"/>
        <v>571.00834202125827</v>
      </c>
      <c r="AG23" s="150">
        <f t="shared" si="8"/>
        <v>594.89990444900343</v>
      </c>
      <c r="AH23" s="151">
        <f t="shared" si="8"/>
        <v>618.79146687662126</v>
      </c>
      <c r="AI23" s="128"/>
      <c r="AJ23" s="128"/>
      <c r="AK23" s="129"/>
      <c r="AL23" s="216"/>
      <c r="AM23" s="216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8"/>
      <c r="AZ23" s="217"/>
      <c r="BA23" s="217"/>
      <c r="BB23" s="217"/>
      <c r="BC23" s="217"/>
      <c r="BD23" s="217"/>
      <c r="BE23" s="217"/>
      <c r="BF23" s="217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</row>
    <row r="24" spans="1:76" s="124" customFormat="1" ht="21.75" customHeight="1" thickBot="1" x14ac:dyDescent="0.3">
      <c r="A24" s="133"/>
      <c r="B24" s="134" t="s">
        <v>13</v>
      </c>
      <c r="C24" s="135">
        <v>1010</v>
      </c>
      <c r="D24" s="136" t="s">
        <v>14</v>
      </c>
      <c r="E24" s="135">
        <f t="shared" si="7"/>
        <v>160</v>
      </c>
      <c r="F24" s="136" t="s">
        <v>14</v>
      </c>
      <c r="G24" s="135" t="s">
        <v>15</v>
      </c>
      <c r="H24" s="136" t="s">
        <v>14</v>
      </c>
      <c r="I24" s="135">
        <v>160</v>
      </c>
      <c r="J24" s="254" t="s">
        <v>21</v>
      </c>
      <c r="K24" s="255"/>
      <c r="L24" s="149">
        <f t="shared" ref="L24:AH24" si="9">(EXP(LN($AE$5-$AE$6)*1.4977))*B42*$T$54</f>
        <v>121.13022150827268</v>
      </c>
      <c r="M24" s="149">
        <f t="shared" si="9"/>
        <v>152.18925266424316</v>
      </c>
      <c r="N24" s="149">
        <f t="shared" si="9"/>
        <v>183.24828382018634</v>
      </c>
      <c r="O24" s="149">
        <f t="shared" si="9"/>
        <v>214.30731497614516</v>
      </c>
      <c r="P24" s="149">
        <f t="shared" si="9"/>
        <v>245.36634613214753</v>
      </c>
      <c r="Q24" s="149">
        <f t="shared" si="9"/>
        <v>276.42537728815068</v>
      </c>
      <c r="R24" s="149">
        <f t="shared" si="9"/>
        <v>307.48440844406844</v>
      </c>
      <c r="S24" s="149">
        <f t="shared" si="9"/>
        <v>338.54343960010175</v>
      </c>
      <c r="T24" s="149">
        <f t="shared" si="9"/>
        <v>369.60247075595152</v>
      </c>
      <c r="U24" s="149">
        <f t="shared" si="9"/>
        <v>400.66150191201694</v>
      </c>
      <c r="V24" s="149">
        <f t="shared" si="9"/>
        <v>431.72053306810903</v>
      </c>
      <c r="W24" s="149">
        <f t="shared" si="9"/>
        <v>462.77956422388684</v>
      </c>
      <c r="X24" s="149">
        <f t="shared" si="9"/>
        <v>493.83859537989127</v>
      </c>
      <c r="Y24" s="149">
        <f t="shared" si="9"/>
        <v>524.89762653586968</v>
      </c>
      <c r="Z24" s="149">
        <f t="shared" si="9"/>
        <v>555.95665769179971</v>
      </c>
      <c r="AA24" s="149">
        <f t="shared" si="9"/>
        <v>587.01568884780318</v>
      </c>
      <c r="AB24" s="149">
        <f t="shared" si="9"/>
        <v>618.07472000388805</v>
      </c>
      <c r="AC24" s="149">
        <f t="shared" si="9"/>
        <v>649.13375115975884</v>
      </c>
      <c r="AD24" s="149">
        <f t="shared" si="9"/>
        <v>680.19278231564442</v>
      </c>
      <c r="AE24" s="149">
        <f t="shared" si="9"/>
        <v>711.25181347176385</v>
      </c>
      <c r="AF24" s="149">
        <f t="shared" si="9"/>
        <v>742.31084462763579</v>
      </c>
      <c r="AG24" s="149">
        <f t="shared" si="9"/>
        <v>773.36987578370452</v>
      </c>
      <c r="AH24" s="152">
        <f t="shared" si="9"/>
        <v>804.4289069396076</v>
      </c>
      <c r="AI24" s="139"/>
      <c r="AJ24" s="139"/>
      <c r="AK24" s="139"/>
    </row>
    <row r="25" spans="1:76" s="227" customFormat="1" ht="21.75" customHeight="1" thickBot="1" x14ac:dyDescent="0.3">
      <c r="A25" s="228"/>
      <c r="B25" s="229" t="s">
        <v>13</v>
      </c>
      <c r="C25" s="230">
        <v>515</v>
      </c>
      <c r="D25" s="231" t="s">
        <v>14</v>
      </c>
      <c r="E25" s="230">
        <f t="shared" si="7"/>
        <v>160</v>
      </c>
      <c r="F25" s="231" t="s">
        <v>14</v>
      </c>
      <c r="G25" s="230" t="s">
        <v>15</v>
      </c>
      <c r="H25" s="231" t="s">
        <v>14</v>
      </c>
      <c r="I25" s="230">
        <v>200</v>
      </c>
      <c r="J25" s="259" t="s">
        <v>61</v>
      </c>
      <c r="K25" s="260"/>
      <c r="L25" s="232">
        <f>L26/1.14</f>
        <v>198.6128521657777</v>
      </c>
      <c r="M25" s="232">
        <f t="shared" ref="M25:AH25" si="10">M26/1.14</f>
        <v>241.78955915828416</v>
      </c>
      <c r="N25" s="232">
        <f t="shared" si="10"/>
        <v>284.96626615092998</v>
      </c>
      <c r="O25" s="232">
        <f t="shared" si="10"/>
        <v>328.14297314337387</v>
      </c>
      <c r="P25" s="232">
        <f t="shared" si="10"/>
        <v>371.31968013599669</v>
      </c>
      <c r="Q25" s="232">
        <f t="shared" si="10"/>
        <v>414.49638712857251</v>
      </c>
      <c r="R25" s="232">
        <f t="shared" si="10"/>
        <v>457.6730941212798</v>
      </c>
      <c r="S25" s="232">
        <f t="shared" si="10"/>
        <v>500.84980111376052</v>
      </c>
      <c r="T25" s="232">
        <f t="shared" si="10"/>
        <v>544.02650810635441</v>
      </c>
      <c r="U25" s="232">
        <f t="shared" si="10"/>
        <v>587.20321509884127</v>
      </c>
      <c r="V25" s="232">
        <f t="shared" si="10"/>
        <v>630.3799220912457</v>
      </c>
      <c r="W25" s="232">
        <f t="shared" si="10"/>
        <v>673.55662908383272</v>
      </c>
      <c r="X25" s="232">
        <f t="shared" si="10"/>
        <v>716.73333607639404</v>
      </c>
      <c r="Y25" s="232">
        <f t="shared" si="10"/>
        <v>759.91004306906461</v>
      </c>
      <c r="Z25" s="232">
        <f t="shared" si="10"/>
        <v>803.08675006162105</v>
      </c>
      <c r="AA25" s="232">
        <f t="shared" si="10"/>
        <v>846.26345705406345</v>
      </c>
      <c r="AB25" s="232">
        <f t="shared" si="10"/>
        <v>889.44016404648301</v>
      </c>
      <c r="AC25" s="232">
        <f t="shared" si="10"/>
        <v>932.61687103924612</v>
      </c>
      <c r="AD25" s="232">
        <f t="shared" si="10"/>
        <v>975.79357803178311</v>
      </c>
      <c r="AE25" s="232">
        <f t="shared" si="10"/>
        <v>1018.9702850245912</v>
      </c>
      <c r="AF25" s="232">
        <f t="shared" si="10"/>
        <v>1062.1469920168188</v>
      </c>
      <c r="AG25" s="232">
        <f t="shared" si="10"/>
        <v>1105.3236990095695</v>
      </c>
      <c r="AH25" s="232">
        <f t="shared" si="10"/>
        <v>1148.5004060019019</v>
      </c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</row>
    <row r="26" spans="1:76" s="227" customFormat="1" ht="21.75" customHeight="1" thickBot="1" x14ac:dyDescent="0.3">
      <c r="A26" s="228"/>
      <c r="B26" s="229" t="s">
        <v>13</v>
      </c>
      <c r="C26" s="230">
        <v>1015</v>
      </c>
      <c r="D26" s="231" t="s">
        <v>14</v>
      </c>
      <c r="E26" s="230">
        <f t="shared" si="7"/>
        <v>160</v>
      </c>
      <c r="F26" s="231" t="s">
        <v>14</v>
      </c>
      <c r="G26" s="230" t="s">
        <v>15</v>
      </c>
      <c r="H26" s="231" t="s">
        <v>14</v>
      </c>
      <c r="I26" s="230">
        <v>200</v>
      </c>
      <c r="J26" s="259" t="s">
        <v>60</v>
      </c>
      <c r="K26" s="260"/>
      <c r="L26" s="232">
        <f>(EXP(LN($AE$5-$AE$6)*1.5133))*B43</f>
        <v>226.41865146898655</v>
      </c>
      <c r="M26" s="232">
        <f t="shared" ref="M26:AH26" si="11">(EXP(LN($AE$5-$AE$6)*1.5133))*C43</f>
        <v>275.64009744044392</v>
      </c>
      <c r="N26" s="232">
        <f t="shared" si="11"/>
        <v>324.86154341206014</v>
      </c>
      <c r="O26" s="232">
        <f t="shared" si="11"/>
        <v>374.08298938344615</v>
      </c>
      <c r="P26" s="232">
        <f t="shared" si="11"/>
        <v>423.30443535503616</v>
      </c>
      <c r="Q26" s="232">
        <f t="shared" si="11"/>
        <v>472.52588132657263</v>
      </c>
      <c r="R26" s="232">
        <f t="shared" si="11"/>
        <v>521.74732729825894</v>
      </c>
      <c r="S26" s="232">
        <f t="shared" si="11"/>
        <v>570.96877326968695</v>
      </c>
      <c r="T26" s="232">
        <f t="shared" si="11"/>
        <v>620.19021924124399</v>
      </c>
      <c r="U26" s="232">
        <f t="shared" si="11"/>
        <v>669.41166521267894</v>
      </c>
      <c r="V26" s="232">
        <f t="shared" si="11"/>
        <v>718.63311118401998</v>
      </c>
      <c r="W26" s="232">
        <f t="shared" si="11"/>
        <v>767.85455715556918</v>
      </c>
      <c r="X26" s="232">
        <f t="shared" si="11"/>
        <v>817.07600312708917</v>
      </c>
      <c r="Y26" s="232">
        <f t="shared" si="11"/>
        <v>866.29744909873364</v>
      </c>
      <c r="Z26" s="232">
        <f t="shared" si="11"/>
        <v>915.51889507024794</v>
      </c>
      <c r="AA26" s="232">
        <f t="shared" si="11"/>
        <v>964.74034104163229</v>
      </c>
      <c r="AB26" s="232">
        <f t="shared" si="11"/>
        <v>1013.9617870129905</v>
      </c>
      <c r="AC26" s="232">
        <f t="shared" si="11"/>
        <v>1063.1832329847405</v>
      </c>
      <c r="AD26" s="232">
        <f t="shared" si="11"/>
        <v>1112.4046789562326</v>
      </c>
      <c r="AE26" s="232">
        <f t="shared" si="11"/>
        <v>1161.626124928034</v>
      </c>
      <c r="AF26" s="232">
        <f t="shared" si="11"/>
        <v>1210.8475708991732</v>
      </c>
      <c r="AG26" s="232">
        <f t="shared" si="11"/>
        <v>1260.0690168709091</v>
      </c>
      <c r="AH26" s="233">
        <f t="shared" si="11"/>
        <v>1309.2904628421679</v>
      </c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</row>
    <row r="27" spans="1:76" s="124" customFormat="1" ht="21.75" customHeight="1" thickBot="1" x14ac:dyDescent="0.3">
      <c r="A27" s="133"/>
      <c r="B27" s="134" t="s">
        <v>13</v>
      </c>
      <c r="C27" s="135">
        <v>520</v>
      </c>
      <c r="D27" s="136" t="s">
        <v>14</v>
      </c>
      <c r="E27" s="135">
        <f t="shared" si="7"/>
        <v>160</v>
      </c>
      <c r="F27" s="136" t="s">
        <v>14</v>
      </c>
      <c r="G27" s="135" t="s">
        <v>15</v>
      </c>
      <c r="H27" s="136" t="s">
        <v>14</v>
      </c>
      <c r="I27" s="135">
        <v>240</v>
      </c>
      <c r="J27" s="254" t="s">
        <v>22</v>
      </c>
      <c r="K27" s="255"/>
      <c r="L27" s="149">
        <f>L28/1.14</f>
        <v>209.94902536533758</v>
      </c>
      <c r="M27" s="149">
        <f>M28/1.14</f>
        <v>263.78210879231392</v>
      </c>
      <c r="N27" s="150">
        <f t="shared" ref="N27:AH27" si="12">N28/1.3</f>
        <v>278.52409163848091</v>
      </c>
      <c r="O27" s="150">
        <f t="shared" si="12"/>
        <v>325.7315647976335</v>
      </c>
      <c r="P27" s="150">
        <f t="shared" si="12"/>
        <v>372.93903795666108</v>
      </c>
      <c r="Q27" s="150">
        <f t="shared" si="12"/>
        <v>420.14651111566218</v>
      </c>
      <c r="R27" s="150">
        <f t="shared" si="12"/>
        <v>467.35398427471154</v>
      </c>
      <c r="S27" s="150">
        <f t="shared" si="12"/>
        <v>514.56145743395018</v>
      </c>
      <c r="T27" s="150">
        <f t="shared" si="12"/>
        <v>561.76893059300642</v>
      </c>
      <c r="U27" s="150">
        <f t="shared" si="12"/>
        <v>608.97640375206072</v>
      </c>
      <c r="V27" s="150">
        <f t="shared" si="12"/>
        <v>656.18387691103146</v>
      </c>
      <c r="W27" s="150">
        <f t="shared" si="12"/>
        <v>703.39135007010225</v>
      </c>
      <c r="X27" s="150">
        <f t="shared" si="12"/>
        <v>750.59882322922863</v>
      </c>
      <c r="Y27" s="150">
        <f t="shared" si="12"/>
        <v>797.80629638819812</v>
      </c>
      <c r="Z27" s="150">
        <f t="shared" si="12"/>
        <v>845.01376954732837</v>
      </c>
      <c r="AA27" s="150">
        <f t="shared" si="12"/>
        <v>892.22124270619167</v>
      </c>
      <c r="AB27" s="150">
        <f t="shared" si="12"/>
        <v>939.4287158655643</v>
      </c>
      <c r="AC27" s="150">
        <f t="shared" si="12"/>
        <v>986.63618902462508</v>
      </c>
      <c r="AD27" s="150">
        <f t="shared" si="12"/>
        <v>1033.8436621835713</v>
      </c>
      <c r="AE27" s="150">
        <f t="shared" si="12"/>
        <v>1081.0511353427132</v>
      </c>
      <c r="AF27" s="150">
        <f t="shared" si="12"/>
        <v>1128.2586085014657</v>
      </c>
      <c r="AG27" s="150">
        <f t="shared" si="12"/>
        <v>1175.4660816611934</v>
      </c>
      <c r="AH27" s="151">
        <f t="shared" si="12"/>
        <v>1222.6735548199933</v>
      </c>
      <c r="AI27" s="139"/>
      <c r="AJ27" s="139"/>
      <c r="AK27" s="139"/>
    </row>
    <row r="28" spans="1:76" s="124" customFormat="1" ht="21.75" customHeight="1" thickBot="1" x14ac:dyDescent="0.3">
      <c r="A28" s="133"/>
      <c r="B28" s="134" t="s">
        <v>13</v>
      </c>
      <c r="C28" s="135">
        <v>1020</v>
      </c>
      <c r="D28" s="136" t="s">
        <v>14</v>
      </c>
      <c r="E28" s="135">
        <f t="shared" si="7"/>
        <v>160</v>
      </c>
      <c r="F28" s="136" t="s">
        <v>14</v>
      </c>
      <c r="G28" s="135" t="s">
        <v>15</v>
      </c>
      <c r="H28" s="136" t="s">
        <v>14</v>
      </c>
      <c r="I28" s="135">
        <v>240</v>
      </c>
      <c r="J28" s="254" t="s">
        <v>23</v>
      </c>
      <c r="K28" s="255"/>
      <c r="L28" s="149">
        <f t="shared" ref="L28:AH28" si="13">(EXP(LN($AE$5-$AE$6)*1.492))*B44*$T$54</f>
        <v>239.34188891648481</v>
      </c>
      <c r="M28" s="149">
        <f t="shared" si="13"/>
        <v>300.71160402323784</v>
      </c>
      <c r="N28" s="149">
        <f t="shared" si="13"/>
        <v>362.08131913002518</v>
      </c>
      <c r="O28" s="149">
        <f t="shared" si="13"/>
        <v>423.45103423692359</v>
      </c>
      <c r="P28" s="149">
        <f t="shared" si="13"/>
        <v>484.82074934365943</v>
      </c>
      <c r="Q28" s="149">
        <f t="shared" si="13"/>
        <v>546.19046445036088</v>
      </c>
      <c r="R28" s="149">
        <f t="shared" si="13"/>
        <v>607.56017955712502</v>
      </c>
      <c r="S28" s="149">
        <f t="shared" si="13"/>
        <v>668.9298946641353</v>
      </c>
      <c r="T28" s="149">
        <f t="shared" si="13"/>
        <v>730.29960977090843</v>
      </c>
      <c r="U28" s="149">
        <f t="shared" si="13"/>
        <v>791.66932487767895</v>
      </c>
      <c r="V28" s="149">
        <f t="shared" si="13"/>
        <v>853.03903998434089</v>
      </c>
      <c r="W28" s="149">
        <f t="shared" si="13"/>
        <v>914.40875509113289</v>
      </c>
      <c r="X28" s="149">
        <f t="shared" si="13"/>
        <v>975.77847019799731</v>
      </c>
      <c r="Y28" s="149">
        <f t="shared" si="13"/>
        <v>1037.1481853046575</v>
      </c>
      <c r="Z28" s="149">
        <f t="shared" si="13"/>
        <v>1098.5179004115269</v>
      </c>
      <c r="AA28" s="149">
        <f t="shared" si="13"/>
        <v>1159.8876155180492</v>
      </c>
      <c r="AB28" s="149">
        <f t="shared" si="13"/>
        <v>1221.2573306252336</v>
      </c>
      <c r="AC28" s="149">
        <f t="shared" si="13"/>
        <v>1282.6270457320127</v>
      </c>
      <c r="AD28" s="149">
        <f t="shared" si="13"/>
        <v>1343.9967608386428</v>
      </c>
      <c r="AE28" s="149">
        <f t="shared" si="13"/>
        <v>1405.3664759455273</v>
      </c>
      <c r="AF28" s="149">
        <f t="shared" si="13"/>
        <v>1466.7361910519055</v>
      </c>
      <c r="AG28" s="149">
        <f t="shared" si="13"/>
        <v>1528.1059061595515</v>
      </c>
      <c r="AH28" s="152">
        <f t="shared" si="13"/>
        <v>1589.4756212659913</v>
      </c>
      <c r="AI28" s="139"/>
      <c r="AJ28" s="139"/>
      <c r="AK28" s="139"/>
    </row>
    <row r="29" spans="1:76" s="124" customFormat="1" ht="21.75" customHeight="1" thickBot="1" x14ac:dyDescent="0.3">
      <c r="A29" s="133"/>
      <c r="B29" s="153" t="s">
        <v>13</v>
      </c>
      <c r="C29" s="154">
        <v>525</v>
      </c>
      <c r="D29" s="155" t="s">
        <v>14</v>
      </c>
      <c r="E29" s="154">
        <f t="shared" si="7"/>
        <v>160</v>
      </c>
      <c r="F29" s="155" t="s">
        <v>14</v>
      </c>
      <c r="G29" s="154" t="s">
        <v>15</v>
      </c>
      <c r="H29" s="155" t="s">
        <v>14</v>
      </c>
      <c r="I29" s="154">
        <v>300</v>
      </c>
      <c r="J29" s="254" t="s">
        <v>24</v>
      </c>
      <c r="K29" s="255"/>
      <c r="L29" s="149">
        <f>L30/1.11</f>
        <v>253.01339917370217</v>
      </c>
      <c r="M29" s="150">
        <f t="shared" ref="M29:AH29" si="14">M30/1.3</f>
        <v>271.42798384729667</v>
      </c>
      <c r="N29" s="150">
        <f t="shared" si="14"/>
        <v>326.82144993848948</v>
      </c>
      <c r="O29" s="150">
        <f t="shared" si="14"/>
        <v>382.2149160298062</v>
      </c>
      <c r="P29" s="150">
        <f>P30/1.3</f>
        <v>437.60838212102402</v>
      </c>
      <c r="Q29" s="150">
        <f t="shared" si="14"/>
        <v>493.00184821228322</v>
      </c>
      <c r="R29" s="150">
        <f t="shared" si="14"/>
        <v>548.39531430361524</v>
      </c>
      <c r="S29" s="150">
        <f t="shared" si="14"/>
        <v>603.78878039474273</v>
      </c>
      <c r="T29" s="150">
        <f t="shared" si="14"/>
        <v>659.18224648626813</v>
      </c>
      <c r="U29" s="150">
        <f t="shared" si="14"/>
        <v>714.5757125773157</v>
      </c>
      <c r="V29" s="150">
        <f t="shared" si="14"/>
        <v>769.96917866868466</v>
      </c>
      <c r="W29" s="150">
        <f t="shared" si="14"/>
        <v>825.36264476008262</v>
      </c>
      <c r="X29" s="150">
        <f t="shared" si="14"/>
        <v>880.75611085143271</v>
      </c>
      <c r="Y29" s="150">
        <f t="shared" si="14"/>
        <v>936.14957694287341</v>
      </c>
      <c r="Z29" s="150">
        <f t="shared" si="14"/>
        <v>991.54304303380775</v>
      </c>
      <c r="AA29" s="150">
        <f t="shared" si="14"/>
        <v>1046.9365091249947</v>
      </c>
      <c r="AB29" s="150">
        <f t="shared" si="14"/>
        <v>1102.3299752166336</v>
      </c>
      <c r="AC29" s="150">
        <f t="shared" si="14"/>
        <v>1157.7234413077369</v>
      </c>
      <c r="AD29" s="150">
        <f t="shared" si="14"/>
        <v>1213.1169073990454</v>
      </c>
      <c r="AE29" s="150">
        <f t="shared" si="14"/>
        <v>1268.5103734904139</v>
      </c>
      <c r="AF29" s="150">
        <f t="shared" si="14"/>
        <v>1323.9038395815198</v>
      </c>
      <c r="AG29" s="150">
        <f t="shared" si="14"/>
        <v>1379.297305672774</v>
      </c>
      <c r="AH29" s="151">
        <f t="shared" si="14"/>
        <v>1434.6907717641377</v>
      </c>
      <c r="AI29" s="139"/>
      <c r="AJ29" s="139"/>
      <c r="AK29" s="139"/>
    </row>
    <row r="30" spans="1:76" s="124" customFormat="1" ht="21.75" customHeight="1" thickBot="1" x14ac:dyDescent="0.3">
      <c r="A30" s="133"/>
      <c r="B30" s="153" t="s">
        <v>13</v>
      </c>
      <c r="C30" s="154">
        <v>1025</v>
      </c>
      <c r="D30" s="155" t="s">
        <v>14</v>
      </c>
      <c r="E30" s="154">
        <f t="shared" si="7"/>
        <v>160</v>
      </c>
      <c r="F30" s="155" t="s">
        <v>14</v>
      </c>
      <c r="G30" s="154" t="s">
        <v>15</v>
      </c>
      <c r="H30" s="155" t="s">
        <v>14</v>
      </c>
      <c r="I30" s="154">
        <v>300</v>
      </c>
      <c r="J30" s="254" t="s">
        <v>25</v>
      </c>
      <c r="K30" s="255"/>
      <c r="L30" s="156">
        <f t="shared" ref="L30:AH30" si="15">(EXP(LN($AE$5-$AE$6)*1.5069))*B45*$T$54</f>
        <v>280.84487308280944</v>
      </c>
      <c r="M30" s="156">
        <f t="shared" si="15"/>
        <v>352.85637900148572</v>
      </c>
      <c r="N30" s="156">
        <f t="shared" si="15"/>
        <v>424.86788492003637</v>
      </c>
      <c r="O30" s="156">
        <f t="shared" si="15"/>
        <v>496.87939083874807</v>
      </c>
      <c r="P30" s="156">
        <f t="shared" si="15"/>
        <v>568.89089675733123</v>
      </c>
      <c r="Q30" s="156">
        <f t="shared" si="15"/>
        <v>640.90240267596823</v>
      </c>
      <c r="R30" s="156">
        <f t="shared" si="15"/>
        <v>712.91390859469982</v>
      </c>
      <c r="S30" s="156">
        <f t="shared" si="15"/>
        <v>784.92541451316561</v>
      </c>
      <c r="T30" s="156">
        <f t="shared" si="15"/>
        <v>856.93692043214855</v>
      </c>
      <c r="U30" s="156">
        <f t="shared" si="15"/>
        <v>928.94842635051043</v>
      </c>
      <c r="V30" s="156">
        <f t="shared" si="15"/>
        <v>1000.9599322692901</v>
      </c>
      <c r="W30" s="156">
        <f t="shared" si="15"/>
        <v>1072.9714381881074</v>
      </c>
      <c r="X30" s="156">
        <f t="shared" si="15"/>
        <v>1144.9829441068625</v>
      </c>
      <c r="Y30" s="156">
        <f t="shared" si="15"/>
        <v>1216.9944500257354</v>
      </c>
      <c r="Z30" s="156">
        <f t="shared" si="15"/>
        <v>1289.0059559439501</v>
      </c>
      <c r="AA30" s="156">
        <f t="shared" si="15"/>
        <v>1361.0174618624931</v>
      </c>
      <c r="AB30" s="156">
        <f t="shared" si="15"/>
        <v>1433.0289677816236</v>
      </c>
      <c r="AC30" s="156">
        <f t="shared" si="15"/>
        <v>1505.0404737000581</v>
      </c>
      <c r="AD30" s="156">
        <f t="shared" si="15"/>
        <v>1577.0519796187591</v>
      </c>
      <c r="AE30" s="156">
        <f t="shared" si="15"/>
        <v>1649.0634855375381</v>
      </c>
      <c r="AF30" s="156">
        <f t="shared" si="15"/>
        <v>1721.0749914559758</v>
      </c>
      <c r="AG30" s="156">
        <f t="shared" si="15"/>
        <v>1793.0864973746061</v>
      </c>
      <c r="AH30" s="157">
        <f t="shared" si="15"/>
        <v>1865.098003293379</v>
      </c>
      <c r="AI30" s="139"/>
      <c r="AJ30" s="139"/>
      <c r="AK30" s="128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</row>
    <row r="31" spans="1:76" s="162" customFormat="1" ht="24.75" customHeight="1" thickBot="1" x14ac:dyDescent="0.3">
      <c r="A31" s="158"/>
      <c r="B31" s="247" t="s">
        <v>30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118" t="s">
        <v>28</v>
      </c>
      <c r="S31" s="119">
        <f>U11</f>
        <v>30</v>
      </c>
      <c r="T31" s="120"/>
      <c r="U31" s="120"/>
      <c r="V31" s="120"/>
      <c r="W31" s="120"/>
      <c r="X31" s="120"/>
      <c r="Y31" s="159"/>
      <c r="Z31" s="159"/>
      <c r="AA31" s="159"/>
      <c r="AB31" s="159"/>
      <c r="AC31" s="159"/>
      <c r="AD31" s="159"/>
      <c r="AE31" s="159"/>
      <c r="AF31" s="159"/>
      <c r="AG31" s="159"/>
      <c r="AH31" s="160"/>
      <c r="AI31" s="161"/>
      <c r="AJ31" s="161"/>
      <c r="AK31" s="140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</row>
    <row r="32" spans="1:76" s="148" customFormat="1" ht="21.75" customHeight="1" thickBot="1" x14ac:dyDescent="0.25">
      <c r="A32" s="145"/>
      <c r="B32" s="134" t="s">
        <v>17</v>
      </c>
      <c r="C32" s="135">
        <v>510</v>
      </c>
      <c r="D32" s="136" t="s">
        <v>14</v>
      </c>
      <c r="E32" s="135">
        <f t="shared" ref="E32:E39" si="16">$R$6</f>
        <v>160</v>
      </c>
      <c r="F32" s="136" t="s">
        <v>14</v>
      </c>
      <c r="G32" s="135" t="s">
        <v>15</v>
      </c>
      <c r="H32" s="136" t="s">
        <v>14</v>
      </c>
      <c r="I32" s="135">
        <v>160</v>
      </c>
      <c r="J32" s="254" t="s">
        <v>20</v>
      </c>
      <c r="K32" s="255"/>
      <c r="L32" s="149">
        <f t="shared" ref="L32:AH32" si="17">L33/1.3</f>
        <v>265.97768303149616</v>
      </c>
      <c r="M32" s="150">
        <f t="shared" si="17"/>
        <v>334.17708893701484</v>
      </c>
      <c r="N32" s="150">
        <f t="shared" si="17"/>
        <v>402.37649484265069</v>
      </c>
      <c r="O32" s="150">
        <f t="shared" si="17"/>
        <v>470.57590074817369</v>
      </c>
      <c r="P32" s="150">
        <f t="shared" si="17"/>
        <v>538.77530665355539</v>
      </c>
      <c r="Q32" s="150">
        <f t="shared" si="17"/>
        <v>606.97471255905668</v>
      </c>
      <c r="R32" s="150">
        <f t="shared" si="17"/>
        <v>675.17411846454866</v>
      </c>
      <c r="S32" s="150">
        <f t="shared" si="17"/>
        <v>743.37352437031439</v>
      </c>
      <c r="T32" s="150">
        <f t="shared" si="17"/>
        <v>811.57293027569722</v>
      </c>
      <c r="U32" s="150">
        <f t="shared" si="17"/>
        <v>879.77233618118635</v>
      </c>
      <c r="V32" s="150">
        <f t="shared" si="17"/>
        <v>947.97174208683305</v>
      </c>
      <c r="W32" s="150">
        <f t="shared" si="17"/>
        <v>1016.1711479922169</v>
      </c>
      <c r="X32" s="150">
        <f t="shared" si="17"/>
        <v>1084.3705538978199</v>
      </c>
      <c r="Y32" s="150">
        <f t="shared" si="17"/>
        <v>1152.5699598033657</v>
      </c>
      <c r="Z32" s="150">
        <f t="shared" si="17"/>
        <v>1220.7693657088059</v>
      </c>
      <c r="AA32" s="150">
        <f t="shared" si="17"/>
        <v>1288.9687716142175</v>
      </c>
      <c r="AB32" s="150">
        <f t="shared" si="17"/>
        <v>1357.1681775201871</v>
      </c>
      <c r="AC32" s="150">
        <f t="shared" si="17"/>
        <v>1425.3675834250787</v>
      </c>
      <c r="AD32" s="150">
        <f t="shared" si="17"/>
        <v>1493.5669893310585</v>
      </c>
      <c r="AE32" s="150">
        <f t="shared" si="17"/>
        <v>1561.766395236695</v>
      </c>
      <c r="AF32" s="150">
        <f t="shared" si="17"/>
        <v>1629.9658011420072</v>
      </c>
      <c r="AG32" s="150">
        <f t="shared" si="17"/>
        <v>1698.1652070475027</v>
      </c>
      <c r="AH32" s="151">
        <f t="shared" si="17"/>
        <v>1766.3646129531326</v>
      </c>
      <c r="AI32" s="147"/>
      <c r="AJ32" s="147"/>
      <c r="AK32" s="86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</row>
    <row r="33" spans="1:58" s="124" customFormat="1" ht="21.75" customHeight="1" thickBot="1" x14ac:dyDescent="0.3">
      <c r="A33" s="133"/>
      <c r="B33" s="141" t="s">
        <v>17</v>
      </c>
      <c r="C33" s="135">
        <v>1010</v>
      </c>
      <c r="D33" s="136" t="s">
        <v>14</v>
      </c>
      <c r="E33" s="135">
        <f t="shared" si="16"/>
        <v>160</v>
      </c>
      <c r="F33" s="136" t="s">
        <v>14</v>
      </c>
      <c r="G33" s="135" t="s">
        <v>15</v>
      </c>
      <c r="H33" s="136" t="s">
        <v>14</v>
      </c>
      <c r="I33" s="142">
        <v>160</v>
      </c>
      <c r="J33" s="254" t="s">
        <v>21</v>
      </c>
      <c r="K33" s="255"/>
      <c r="L33" s="149">
        <f t="shared" ref="L33:AH33" si="18">(EXP(LN($AE$5-$AE$6)*1.0726))*B47*$T$54</f>
        <v>345.77098794094502</v>
      </c>
      <c r="M33" s="149">
        <f t="shared" si="18"/>
        <v>434.43021561811929</v>
      </c>
      <c r="N33" s="149">
        <f t="shared" si="18"/>
        <v>523.0894432954459</v>
      </c>
      <c r="O33" s="149">
        <f t="shared" si="18"/>
        <v>611.74867097262586</v>
      </c>
      <c r="P33" s="149">
        <f t="shared" si="18"/>
        <v>700.40789864962198</v>
      </c>
      <c r="Q33" s="149">
        <f t="shared" si="18"/>
        <v>789.06712632677375</v>
      </c>
      <c r="R33" s="149">
        <f t="shared" si="18"/>
        <v>877.72635400391334</v>
      </c>
      <c r="S33" s="149">
        <f t="shared" si="18"/>
        <v>966.38558168140867</v>
      </c>
      <c r="T33" s="149">
        <f t="shared" si="18"/>
        <v>1055.0448093584064</v>
      </c>
      <c r="U33" s="149">
        <f t="shared" si="18"/>
        <v>1143.7040370355423</v>
      </c>
      <c r="V33" s="149">
        <f t="shared" si="18"/>
        <v>1232.3632647128829</v>
      </c>
      <c r="W33" s="149">
        <f t="shared" si="18"/>
        <v>1321.022492389882</v>
      </c>
      <c r="X33" s="149">
        <f t="shared" si="18"/>
        <v>1409.681720067166</v>
      </c>
      <c r="Y33" s="149">
        <f t="shared" si="18"/>
        <v>1498.3409477443754</v>
      </c>
      <c r="Z33" s="149">
        <f t="shared" si="18"/>
        <v>1587.0001754214477</v>
      </c>
      <c r="AA33" s="149">
        <f t="shared" si="18"/>
        <v>1675.6594030984829</v>
      </c>
      <c r="AB33" s="149">
        <f t="shared" si="18"/>
        <v>1764.3186307762433</v>
      </c>
      <c r="AC33" s="149">
        <f t="shared" si="18"/>
        <v>1852.9778584526023</v>
      </c>
      <c r="AD33" s="149">
        <f t="shared" si="18"/>
        <v>1941.6370861303762</v>
      </c>
      <c r="AE33" s="149">
        <f t="shared" si="18"/>
        <v>2030.2963138077034</v>
      </c>
      <c r="AF33" s="149">
        <f t="shared" si="18"/>
        <v>2118.9555414846095</v>
      </c>
      <c r="AG33" s="149">
        <f t="shared" si="18"/>
        <v>2207.6147691617534</v>
      </c>
      <c r="AH33" s="152">
        <f t="shared" si="18"/>
        <v>2296.2739968390724</v>
      </c>
      <c r="AI33" s="139"/>
      <c r="AJ33" s="139"/>
      <c r="AK33" s="139"/>
    </row>
    <row r="34" spans="1:58" s="227" customFormat="1" ht="21.75" customHeight="1" thickBot="1" x14ac:dyDescent="0.3">
      <c r="A34" s="228"/>
      <c r="B34" s="234" t="s">
        <v>17</v>
      </c>
      <c r="C34" s="230">
        <v>515</v>
      </c>
      <c r="D34" s="231" t="s">
        <v>14</v>
      </c>
      <c r="E34" s="230">
        <f t="shared" si="16"/>
        <v>160</v>
      </c>
      <c r="F34" s="231" t="s">
        <v>14</v>
      </c>
      <c r="G34" s="230" t="s">
        <v>15</v>
      </c>
      <c r="H34" s="231" t="s">
        <v>14</v>
      </c>
      <c r="I34" s="235">
        <v>200</v>
      </c>
      <c r="J34" s="259" t="s">
        <v>62</v>
      </c>
      <c r="K34" s="260"/>
      <c r="L34" s="232">
        <f t="shared" ref="L34:AH34" si="19">L35/1.3</f>
        <v>303.19550340520766</v>
      </c>
      <c r="M34" s="232">
        <f t="shared" si="19"/>
        <v>356.64253666492795</v>
      </c>
      <c r="N34" s="232">
        <f t="shared" si="19"/>
        <v>435.01963532056368</v>
      </c>
      <c r="O34" s="232">
        <f t="shared" si="19"/>
        <v>500.93170127826011</v>
      </c>
      <c r="P34" s="232">
        <f t="shared" si="19"/>
        <v>566.84376723595517</v>
      </c>
      <c r="Q34" s="232">
        <f t="shared" si="19"/>
        <v>632.75583319365182</v>
      </c>
      <c r="R34" s="232">
        <f t="shared" si="19"/>
        <v>698.66789915124195</v>
      </c>
      <c r="S34" s="232">
        <f t="shared" si="19"/>
        <v>764.57996510898886</v>
      </c>
      <c r="T34" s="232">
        <f t="shared" si="19"/>
        <v>830.49203106670359</v>
      </c>
      <c r="U34" s="232">
        <f t="shared" si="19"/>
        <v>896.40409702438626</v>
      </c>
      <c r="V34" s="232">
        <f t="shared" si="19"/>
        <v>962.31616298210417</v>
      </c>
      <c r="W34" s="232">
        <f t="shared" si="19"/>
        <v>1028.2282289396862</v>
      </c>
      <c r="X34" s="232">
        <f t="shared" si="19"/>
        <v>1094.1402948973705</v>
      </c>
      <c r="Y34" s="232">
        <f t="shared" si="19"/>
        <v>1225.9644268125387</v>
      </c>
      <c r="Z34" s="232">
        <f t="shared" si="19"/>
        <v>1291.8764927702121</v>
      </c>
      <c r="AA34" s="232">
        <f t="shared" si="19"/>
        <v>1357.7885587280687</v>
      </c>
      <c r="AB34" s="232">
        <f t="shared" si="19"/>
        <v>1423.7006246854435</v>
      </c>
      <c r="AC34" s="232">
        <f t="shared" si="19"/>
        <v>1489.612690643509</v>
      </c>
      <c r="AD34" s="232">
        <f t="shared" si="19"/>
        <v>1555.5247566011135</v>
      </c>
      <c r="AE34" s="232">
        <f t="shared" si="19"/>
        <v>1621.4368225585063</v>
      </c>
      <c r="AF34" s="232">
        <f t="shared" si="19"/>
        <v>1687.3488885164709</v>
      </c>
      <c r="AG34" s="232">
        <f t="shared" si="19"/>
        <v>1753.2609544740535</v>
      </c>
      <c r="AH34" s="233">
        <f t="shared" si="19"/>
        <v>1805.204400474551</v>
      </c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</row>
    <row r="35" spans="1:58" s="227" customFormat="1" ht="21.75" customHeight="1" thickBot="1" x14ac:dyDescent="0.3">
      <c r="A35" s="228"/>
      <c r="B35" s="234" t="s">
        <v>17</v>
      </c>
      <c r="C35" s="230">
        <v>1015</v>
      </c>
      <c r="D35" s="231" t="s">
        <v>14</v>
      </c>
      <c r="E35" s="230">
        <f t="shared" si="16"/>
        <v>160</v>
      </c>
      <c r="F35" s="231" t="s">
        <v>14</v>
      </c>
      <c r="G35" s="230" t="s">
        <v>15</v>
      </c>
      <c r="H35" s="231" t="s">
        <v>14</v>
      </c>
      <c r="I35" s="235">
        <v>200</v>
      </c>
      <c r="J35" s="259" t="s">
        <v>60</v>
      </c>
      <c r="K35" s="260"/>
      <c r="L35" s="232">
        <f>(EXP(LN($AE$5-$AE$6)*1.1729))*B48</f>
        <v>394.15415442676999</v>
      </c>
      <c r="M35" s="232">
        <f t="shared" ref="M35:AH35" si="20">(EXP(LN($AE$5-$AE$6)*1.1729))*C48</f>
        <v>463.63529766440632</v>
      </c>
      <c r="N35" s="232">
        <f t="shared" si="20"/>
        <v>565.52552591673282</v>
      </c>
      <c r="O35" s="232">
        <f t="shared" si="20"/>
        <v>651.21121166173816</v>
      </c>
      <c r="P35" s="232">
        <f t="shared" si="20"/>
        <v>736.8968974067418</v>
      </c>
      <c r="Q35" s="232">
        <f t="shared" si="20"/>
        <v>822.58258315174737</v>
      </c>
      <c r="R35" s="232">
        <f t="shared" si="20"/>
        <v>908.26826889661459</v>
      </c>
      <c r="S35" s="232">
        <f t="shared" si="20"/>
        <v>993.95395464168553</v>
      </c>
      <c r="T35" s="232">
        <f t="shared" si="20"/>
        <v>1079.6396403867147</v>
      </c>
      <c r="U35" s="232">
        <f t="shared" si="20"/>
        <v>1165.3253261317022</v>
      </c>
      <c r="V35" s="232">
        <f t="shared" si="20"/>
        <v>1251.0110118767354</v>
      </c>
      <c r="W35" s="232">
        <f t="shared" si="20"/>
        <v>1336.6966976215922</v>
      </c>
      <c r="X35" s="232">
        <f t="shared" si="20"/>
        <v>1422.3823833665817</v>
      </c>
      <c r="Y35" s="232">
        <f t="shared" si="20"/>
        <v>1593.7537548563005</v>
      </c>
      <c r="Z35" s="232">
        <f t="shared" si="20"/>
        <v>1679.4394406012757</v>
      </c>
      <c r="AA35" s="232">
        <f t="shared" si="20"/>
        <v>1765.1251263464894</v>
      </c>
      <c r="AB35" s="232">
        <f t="shared" si="20"/>
        <v>1850.8108120910765</v>
      </c>
      <c r="AC35" s="232">
        <f t="shared" si="20"/>
        <v>1936.496497836562</v>
      </c>
      <c r="AD35" s="232">
        <f t="shared" si="20"/>
        <v>2022.1821835814476</v>
      </c>
      <c r="AE35" s="232">
        <f t="shared" si="20"/>
        <v>2107.8678693260581</v>
      </c>
      <c r="AF35" s="232">
        <f t="shared" si="20"/>
        <v>2193.5535550714121</v>
      </c>
      <c r="AG35" s="232">
        <f t="shared" si="20"/>
        <v>2279.2392408162696</v>
      </c>
      <c r="AH35" s="233">
        <f t="shared" si="20"/>
        <v>2346.7657206169165</v>
      </c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</row>
    <row r="36" spans="1:58" s="124" customFormat="1" ht="21.75" customHeight="1" thickBot="1" x14ac:dyDescent="0.3">
      <c r="A36" s="133"/>
      <c r="B36" s="134" t="s">
        <v>17</v>
      </c>
      <c r="C36" s="135">
        <v>520</v>
      </c>
      <c r="D36" s="136" t="s">
        <v>14</v>
      </c>
      <c r="E36" s="135">
        <f t="shared" si="16"/>
        <v>160</v>
      </c>
      <c r="F36" s="136" t="s">
        <v>14</v>
      </c>
      <c r="G36" s="135" t="s">
        <v>15</v>
      </c>
      <c r="H36" s="136" t="s">
        <v>14</v>
      </c>
      <c r="I36" s="135">
        <v>240</v>
      </c>
      <c r="J36" s="254" t="s">
        <v>22</v>
      </c>
      <c r="K36" s="255"/>
      <c r="L36" s="149">
        <f t="shared" ref="L36:AH36" si="21">L37/1.3</f>
        <v>330.11675018128153</v>
      </c>
      <c r="M36" s="150">
        <f t="shared" si="21"/>
        <v>377.42345757939847</v>
      </c>
      <c r="N36" s="150">
        <f t="shared" si="21"/>
        <v>454.44865300390398</v>
      </c>
      <c r="O36" s="150">
        <f t="shared" si="21"/>
        <v>531.47384842812619</v>
      </c>
      <c r="P36" s="150">
        <f t="shared" si="21"/>
        <v>608.49904385241109</v>
      </c>
      <c r="Q36" s="150">
        <f t="shared" si="21"/>
        <v>685.52423927695452</v>
      </c>
      <c r="R36" s="150">
        <f t="shared" si="21"/>
        <v>762.54943470108537</v>
      </c>
      <c r="S36" s="150">
        <f t="shared" si="21"/>
        <v>839.57463012584935</v>
      </c>
      <c r="T36" s="150">
        <f t="shared" si="21"/>
        <v>916.59982555006923</v>
      </c>
      <c r="U36" s="150">
        <f t="shared" si="21"/>
        <v>993.62502097470019</v>
      </c>
      <c r="V36" s="150">
        <f t="shared" si="21"/>
        <v>1070.6502163989267</v>
      </c>
      <c r="W36" s="150">
        <f t="shared" si="21"/>
        <v>1147.6754118229787</v>
      </c>
      <c r="X36" s="150">
        <f t="shared" si="21"/>
        <v>1224.7006072474362</v>
      </c>
      <c r="Y36" s="150">
        <f t="shared" si="21"/>
        <v>1301.7258026720199</v>
      </c>
      <c r="Z36" s="150">
        <f t="shared" si="21"/>
        <v>1378.7509980965062</v>
      </c>
      <c r="AA36" s="150">
        <f t="shared" si="21"/>
        <v>1455.7761935203437</v>
      </c>
      <c r="AB36" s="150">
        <f t="shared" si="21"/>
        <v>1532.8013889447639</v>
      </c>
      <c r="AC36" s="150">
        <f t="shared" si="21"/>
        <v>1609.8265843688675</v>
      </c>
      <c r="AD36" s="150">
        <f t="shared" si="21"/>
        <v>1686.8517797937507</v>
      </c>
      <c r="AE36" s="150">
        <f t="shared" si="21"/>
        <v>1763.876975217727</v>
      </c>
      <c r="AF36" s="150">
        <f t="shared" si="21"/>
        <v>1840.9021706423741</v>
      </c>
      <c r="AG36" s="150">
        <f t="shared" si="21"/>
        <v>1917.9273660667081</v>
      </c>
      <c r="AH36" s="151">
        <f t="shared" si="21"/>
        <v>1994.9525614911963</v>
      </c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</row>
    <row r="37" spans="1:58" s="124" customFormat="1" ht="21.75" customHeight="1" thickBot="1" x14ac:dyDescent="0.3">
      <c r="A37" s="133"/>
      <c r="B37" s="141" t="s">
        <v>17</v>
      </c>
      <c r="C37" s="135">
        <v>1020</v>
      </c>
      <c r="D37" s="136" t="s">
        <v>14</v>
      </c>
      <c r="E37" s="135">
        <f t="shared" si="16"/>
        <v>160</v>
      </c>
      <c r="F37" s="136" t="s">
        <v>14</v>
      </c>
      <c r="G37" s="135" t="s">
        <v>15</v>
      </c>
      <c r="H37" s="136" t="s">
        <v>14</v>
      </c>
      <c r="I37" s="142">
        <v>240</v>
      </c>
      <c r="J37" s="254" t="s">
        <v>23</v>
      </c>
      <c r="K37" s="255"/>
      <c r="L37" s="149">
        <f t="shared" ref="L37:AH37" si="22">(EXP(LN($AE$5-$AE$6)*1.1717))*B49*$T$54</f>
        <v>429.15177523566604</v>
      </c>
      <c r="M37" s="149">
        <f t="shared" si="22"/>
        <v>490.65049485321805</v>
      </c>
      <c r="N37" s="149">
        <f t="shared" si="22"/>
        <v>590.7832489050752</v>
      </c>
      <c r="O37" s="149">
        <f t="shared" si="22"/>
        <v>690.91600295656406</v>
      </c>
      <c r="P37" s="149">
        <f t="shared" si="22"/>
        <v>791.04875700813443</v>
      </c>
      <c r="Q37" s="149">
        <f t="shared" si="22"/>
        <v>891.18151106004098</v>
      </c>
      <c r="R37" s="149">
        <f t="shared" si="22"/>
        <v>991.31426511141103</v>
      </c>
      <c r="S37" s="149">
        <f t="shared" si="22"/>
        <v>1091.4470191636042</v>
      </c>
      <c r="T37" s="149">
        <f t="shared" si="22"/>
        <v>1191.57977321509</v>
      </c>
      <c r="U37" s="149">
        <f t="shared" si="22"/>
        <v>1291.7125272671103</v>
      </c>
      <c r="V37" s="149">
        <f t="shared" si="22"/>
        <v>1391.8452813186047</v>
      </c>
      <c r="W37" s="149">
        <f t="shared" si="22"/>
        <v>1491.9780353698725</v>
      </c>
      <c r="X37" s="149">
        <f t="shared" si="22"/>
        <v>1592.1107894216671</v>
      </c>
      <c r="Y37" s="149">
        <f t="shared" si="22"/>
        <v>1692.243543473626</v>
      </c>
      <c r="Z37" s="149">
        <f t="shared" si="22"/>
        <v>1792.3762975254581</v>
      </c>
      <c r="AA37" s="149">
        <f t="shared" si="22"/>
        <v>1892.5090515764468</v>
      </c>
      <c r="AB37" s="149">
        <f t="shared" si="22"/>
        <v>1992.6418056281932</v>
      </c>
      <c r="AC37" s="149">
        <f t="shared" si="22"/>
        <v>2092.774559679528</v>
      </c>
      <c r="AD37" s="149">
        <f t="shared" si="22"/>
        <v>2192.907313731876</v>
      </c>
      <c r="AE37" s="149">
        <f t="shared" si="22"/>
        <v>2293.0400677830453</v>
      </c>
      <c r="AF37" s="149">
        <f t="shared" si="22"/>
        <v>2393.1728218350863</v>
      </c>
      <c r="AG37" s="149">
        <f t="shared" si="22"/>
        <v>2493.3055758867208</v>
      </c>
      <c r="AH37" s="152">
        <f t="shared" si="22"/>
        <v>2593.4383299385554</v>
      </c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</row>
    <row r="38" spans="1:58" s="124" customFormat="1" ht="21.75" customHeight="1" thickBot="1" x14ac:dyDescent="0.3">
      <c r="A38" s="133"/>
      <c r="B38" s="134" t="s">
        <v>17</v>
      </c>
      <c r="C38" s="135">
        <v>525</v>
      </c>
      <c r="D38" s="136" t="s">
        <v>14</v>
      </c>
      <c r="E38" s="135">
        <f t="shared" si="16"/>
        <v>160</v>
      </c>
      <c r="F38" s="136" t="s">
        <v>14</v>
      </c>
      <c r="G38" s="135" t="s">
        <v>15</v>
      </c>
      <c r="H38" s="136" t="s">
        <v>14</v>
      </c>
      <c r="I38" s="135">
        <v>300</v>
      </c>
      <c r="J38" s="254" t="s">
        <v>24</v>
      </c>
      <c r="K38" s="255"/>
      <c r="L38" s="149">
        <f t="shared" ref="L38:AH38" si="23">L39/1.3</f>
        <v>391.82382020226549</v>
      </c>
      <c r="M38" s="150">
        <f t="shared" si="23"/>
        <v>492.29146640791248</v>
      </c>
      <c r="N38" s="150">
        <f t="shared" si="23"/>
        <v>592.75911261361568</v>
      </c>
      <c r="O38" s="150">
        <f t="shared" si="23"/>
        <v>693.22675881919531</v>
      </c>
      <c r="P38" s="150">
        <f t="shared" si="23"/>
        <v>793.69440502511975</v>
      </c>
      <c r="Q38" s="150">
        <f t="shared" si="23"/>
        <v>894.16205123081329</v>
      </c>
      <c r="R38" s="150">
        <f t="shared" si="23"/>
        <v>994.62969743649296</v>
      </c>
      <c r="S38" s="150">
        <f t="shared" si="23"/>
        <v>1095.0973436420943</v>
      </c>
      <c r="T38" s="150">
        <f t="shared" si="23"/>
        <v>1195.5649898479196</v>
      </c>
      <c r="U38" s="150">
        <f t="shared" si="23"/>
        <v>1296.0326360535805</v>
      </c>
      <c r="V38" s="150">
        <f t="shared" si="23"/>
        <v>1396.5002822592687</v>
      </c>
      <c r="W38" s="150">
        <f t="shared" si="23"/>
        <v>1496.9679284651995</v>
      </c>
      <c r="X38" s="150">
        <f t="shared" si="23"/>
        <v>1597.4355746705742</v>
      </c>
      <c r="Y38" s="150">
        <f t="shared" si="23"/>
        <v>1697.9032208758053</v>
      </c>
      <c r="Z38" s="150">
        <f t="shared" si="23"/>
        <v>1798.3708670821406</v>
      </c>
      <c r="AA38" s="150">
        <f t="shared" si="23"/>
        <v>1898.838513287689</v>
      </c>
      <c r="AB38" s="150">
        <f t="shared" si="23"/>
        <v>1999.3061594940568</v>
      </c>
      <c r="AC38" s="150">
        <f t="shared" si="23"/>
        <v>2099.7738056994535</v>
      </c>
      <c r="AD38" s="150">
        <f t="shared" si="23"/>
        <v>2200.2414519045756</v>
      </c>
      <c r="AE38" s="150">
        <f t="shared" si="23"/>
        <v>2300.7090981110987</v>
      </c>
      <c r="AF38" s="150">
        <f t="shared" si="23"/>
        <v>2401.1767443164981</v>
      </c>
      <c r="AG38" s="150">
        <f t="shared" si="23"/>
        <v>2501.6443905221686</v>
      </c>
      <c r="AH38" s="151">
        <f t="shared" si="23"/>
        <v>2602.1120367280369</v>
      </c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</row>
    <row r="39" spans="1:58" s="124" customFormat="1" ht="21.75" customHeight="1" thickBot="1" x14ac:dyDescent="0.25">
      <c r="A39" s="133"/>
      <c r="B39" s="163" t="s">
        <v>17</v>
      </c>
      <c r="C39" s="154">
        <v>1025</v>
      </c>
      <c r="D39" s="155" t="s">
        <v>14</v>
      </c>
      <c r="E39" s="154">
        <f t="shared" si="16"/>
        <v>160</v>
      </c>
      <c r="F39" s="155" t="s">
        <v>14</v>
      </c>
      <c r="G39" s="154" t="s">
        <v>15</v>
      </c>
      <c r="H39" s="155" t="s">
        <v>14</v>
      </c>
      <c r="I39" s="164">
        <v>300</v>
      </c>
      <c r="J39" s="254" t="s">
        <v>25</v>
      </c>
      <c r="K39" s="255"/>
      <c r="L39" s="149">
        <f t="shared" ref="L39:AH39" si="24">(EXP(LN($AE$5-$AE$6)*1.1717))*B50*$T$54</f>
        <v>509.37096626294516</v>
      </c>
      <c r="M39" s="149">
        <f t="shared" si="24"/>
        <v>639.97890633028624</v>
      </c>
      <c r="N39" s="149">
        <f t="shared" si="24"/>
        <v>770.58684639770036</v>
      </c>
      <c r="O39" s="149">
        <f t="shared" si="24"/>
        <v>901.19478646495395</v>
      </c>
      <c r="P39" s="149">
        <f t="shared" si="24"/>
        <v>1031.8027265326557</v>
      </c>
      <c r="Q39" s="149">
        <f t="shared" si="24"/>
        <v>1162.4106666000573</v>
      </c>
      <c r="R39" s="149">
        <f t="shared" si="24"/>
        <v>1293.018606667441</v>
      </c>
      <c r="S39" s="149">
        <f t="shared" si="24"/>
        <v>1423.6265467347228</v>
      </c>
      <c r="T39" s="149">
        <f t="shared" si="24"/>
        <v>1554.2344868022956</v>
      </c>
      <c r="U39" s="149">
        <f t="shared" si="24"/>
        <v>1684.8424268696547</v>
      </c>
      <c r="V39" s="149">
        <f t="shared" si="24"/>
        <v>1815.4503669370495</v>
      </c>
      <c r="W39" s="149">
        <f t="shared" si="24"/>
        <v>1946.0583070047594</v>
      </c>
      <c r="X39" s="149">
        <f t="shared" si="24"/>
        <v>2076.6662470717465</v>
      </c>
      <c r="Y39" s="149">
        <f t="shared" si="24"/>
        <v>2207.2741871385469</v>
      </c>
      <c r="Z39" s="149">
        <f t="shared" si="24"/>
        <v>2337.882127206783</v>
      </c>
      <c r="AA39" s="149">
        <f t="shared" si="24"/>
        <v>2468.4900672739959</v>
      </c>
      <c r="AB39" s="149">
        <f t="shared" si="24"/>
        <v>2599.0980073422738</v>
      </c>
      <c r="AC39" s="149">
        <f t="shared" si="24"/>
        <v>2729.7059474092898</v>
      </c>
      <c r="AD39" s="149">
        <f t="shared" si="24"/>
        <v>2860.3138874759484</v>
      </c>
      <c r="AE39" s="149">
        <f t="shared" si="24"/>
        <v>2990.9218275444287</v>
      </c>
      <c r="AF39" s="149">
        <f t="shared" si="24"/>
        <v>3121.5297676114478</v>
      </c>
      <c r="AG39" s="149">
        <f t="shared" si="24"/>
        <v>3252.1377076788194</v>
      </c>
      <c r="AH39" s="152">
        <f t="shared" si="24"/>
        <v>3382.745647746448</v>
      </c>
      <c r="AI39" s="139"/>
      <c r="AJ39" s="139"/>
      <c r="AK39" s="86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</row>
    <row r="40" spans="1:58" ht="20.25" x14ac:dyDescent="0.3">
      <c r="A40" s="148"/>
      <c r="B40" s="54" t="s">
        <v>57</v>
      </c>
      <c r="C40" s="180"/>
      <c r="D40" s="180"/>
      <c r="E40" s="193"/>
      <c r="F40" s="86"/>
      <c r="G40" s="86"/>
      <c r="H40" s="86"/>
      <c r="I40" s="86"/>
      <c r="J40" s="86"/>
      <c r="K40" s="86"/>
      <c r="W40" s="82"/>
    </row>
    <row r="41" spans="1:58" x14ac:dyDescent="0.25">
      <c r="A41" s="148"/>
      <c r="B41" s="56">
        <v>800</v>
      </c>
      <c r="C41" s="57">
        <v>900</v>
      </c>
      <c r="D41" s="56">
        <v>1000</v>
      </c>
      <c r="E41" s="57">
        <v>1100</v>
      </c>
      <c r="F41" s="56">
        <v>1200</v>
      </c>
      <c r="G41" s="57">
        <v>1300</v>
      </c>
      <c r="H41" s="56">
        <v>1400</v>
      </c>
      <c r="I41" s="57">
        <v>1500</v>
      </c>
      <c r="J41" s="56">
        <v>1600</v>
      </c>
      <c r="K41" s="57">
        <v>1700</v>
      </c>
      <c r="L41" s="56">
        <v>1800</v>
      </c>
      <c r="M41" s="57">
        <v>1900</v>
      </c>
      <c r="N41" s="56">
        <v>2000</v>
      </c>
      <c r="O41" s="57">
        <v>2100</v>
      </c>
      <c r="P41" s="56">
        <v>2200</v>
      </c>
      <c r="Q41" s="57">
        <v>2300</v>
      </c>
      <c r="R41" s="56">
        <v>2400</v>
      </c>
      <c r="S41" s="57">
        <v>2500</v>
      </c>
      <c r="T41" s="56">
        <v>2600</v>
      </c>
      <c r="U41" s="57">
        <v>2700</v>
      </c>
      <c r="V41" s="56">
        <v>2800</v>
      </c>
      <c r="W41" s="57">
        <v>2900</v>
      </c>
      <c r="X41" s="56">
        <v>3000</v>
      </c>
      <c r="Y41" s="85"/>
      <c r="Z41" s="85"/>
      <c r="AA41" s="85"/>
      <c r="AB41" s="85"/>
      <c r="AC41" s="85"/>
      <c r="AD41" s="85"/>
      <c r="AE41" s="85"/>
      <c r="AF41" s="85"/>
      <c r="AG41" s="86"/>
      <c r="AH41" s="86"/>
    </row>
    <row r="42" spans="1:58" ht="12.75" x14ac:dyDescent="0.2">
      <c r="A42" s="148"/>
      <c r="B42" s="58">
        <v>0.72416738271408976</v>
      </c>
      <c r="C42" s="58">
        <v>0.90985132699977256</v>
      </c>
      <c r="D42" s="58">
        <v>1.0955352712852919</v>
      </c>
      <c r="E42" s="58">
        <v>1.281219215570905</v>
      </c>
      <c r="F42" s="58">
        <v>1.4669031598567783</v>
      </c>
      <c r="G42" s="58">
        <v>1.6525871041426565</v>
      </c>
      <c r="H42" s="58">
        <v>1.838271048428024</v>
      </c>
      <c r="I42" s="58">
        <v>2.0239549927140823</v>
      </c>
      <c r="J42" s="58">
        <v>2.2096389369990432</v>
      </c>
      <c r="K42" s="58">
        <v>2.3953228812852938</v>
      </c>
      <c r="L42" s="58">
        <v>2.5810068255717038</v>
      </c>
      <c r="M42" s="58">
        <v>2.7666907698562344</v>
      </c>
      <c r="N42" s="58">
        <v>2.9523747141421204</v>
      </c>
      <c r="O42" s="58">
        <v>3.1380586584278505</v>
      </c>
      <c r="P42" s="58">
        <v>3.323742602713291</v>
      </c>
      <c r="Q42" s="58">
        <v>3.5094265469991712</v>
      </c>
      <c r="R42" s="58">
        <v>3.6951104912855377</v>
      </c>
      <c r="S42" s="58">
        <v>3.8807944355706248</v>
      </c>
      <c r="T42" s="58">
        <v>4.0664783798558002</v>
      </c>
      <c r="U42" s="58">
        <v>4.2521623241423727</v>
      </c>
      <c r="V42" s="58">
        <v>4.4378462684274664</v>
      </c>
      <c r="W42" s="58">
        <v>4.6235302127137361</v>
      </c>
      <c r="X42" s="58">
        <v>4.8092141569990163</v>
      </c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spans="1:58" s="224" customFormat="1" ht="15" x14ac:dyDescent="0.25">
      <c r="A43" s="220">
        <v>1015</v>
      </c>
      <c r="B43" s="221">
        <v>1.3169964511096555</v>
      </c>
      <c r="C43" s="221">
        <v>1.6033000274374842</v>
      </c>
      <c r="D43" s="221">
        <v>1.8896036037662367</v>
      </c>
      <c r="E43" s="221">
        <v>2.1759071800936503</v>
      </c>
      <c r="F43" s="221">
        <v>2.4622107564222504</v>
      </c>
      <c r="G43" s="221">
        <v>2.7485143327505388</v>
      </c>
      <c r="H43" s="221">
        <v>3.0348179090796994</v>
      </c>
      <c r="I43" s="221">
        <v>3.3211214854073567</v>
      </c>
      <c r="J43" s="221">
        <v>3.607425061735765</v>
      </c>
      <c r="K43" s="221">
        <v>3.8937286380634637</v>
      </c>
      <c r="L43" s="221">
        <v>4.1800322143906152</v>
      </c>
      <c r="M43" s="221">
        <v>4.4663357907189782</v>
      </c>
      <c r="N43" s="221">
        <v>4.7526393670471707</v>
      </c>
      <c r="O43" s="58">
        <v>5.0389429433760879</v>
      </c>
      <c r="P43" s="58">
        <v>5.3252465197042476</v>
      </c>
      <c r="Q43" s="58">
        <v>5.6115500960316513</v>
      </c>
      <c r="R43" s="58">
        <v>5.8978536723589032</v>
      </c>
      <c r="S43" s="58">
        <v>6.1841572486884333</v>
      </c>
      <c r="T43" s="58">
        <v>6.470460825016465</v>
      </c>
      <c r="U43" s="58">
        <v>6.7567644013462935</v>
      </c>
      <c r="V43" s="58">
        <v>7.0430679776722718</v>
      </c>
      <c r="W43" s="58">
        <v>7.329371554001721</v>
      </c>
      <c r="X43" s="58">
        <v>7.6156751303283947</v>
      </c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3"/>
      <c r="AJ43" s="223"/>
      <c r="AK43" s="223"/>
      <c r="AL43" s="223"/>
    </row>
    <row r="44" spans="1:58" ht="12.75" x14ac:dyDescent="0.2">
      <c r="A44" s="148"/>
      <c r="B44" s="58">
        <v>1.4588974116957489</v>
      </c>
      <c r="C44" s="58">
        <v>1.832973671104684</v>
      </c>
      <c r="D44" s="58">
        <v>2.2070499305138283</v>
      </c>
      <c r="E44" s="58">
        <v>2.5811261899236495</v>
      </c>
      <c r="F44" s="58">
        <v>2.95520244933248</v>
      </c>
      <c r="G44" s="58">
        <v>3.3292787087411004</v>
      </c>
      <c r="H44" s="58">
        <v>3.7033549681501037</v>
      </c>
      <c r="I44" s="58">
        <v>4.0774312275606066</v>
      </c>
      <c r="J44" s="58">
        <v>4.451507486969664</v>
      </c>
      <c r="K44" s="58">
        <v>4.8255837463787055</v>
      </c>
      <c r="L44" s="58">
        <v>5.1996600057870861</v>
      </c>
      <c r="M44" s="58">
        <v>5.573736265196259</v>
      </c>
      <c r="N44" s="58">
        <v>5.9478125246058724</v>
      </c>
      <c r="O44" s="58">
        <v>6.3218887840142424</v>
      </c>
      <c r="P44" s="58">
        <v>6.695965043423886</v>
      </c>
      <c r="Q44" s="58">
        <v>7.070041302831414</v>
      </c>
      <c r="R44" s="58">
        <v>7.4441175622429787</v>
      </c>
      <c r="S44" s="58">
        <v>7.8181938216520734</v>
      </c>
      <c r="T44" s="58">
        <v>8.1922700810602578</v>
      </c>
      <c r="U44" s="58">
        <v>8.5663463404699964</v>
      </c>
      <c r="V44" s="58">
        <v>8.940422599876646</v>
      </c>
      <c r="W44" s="58">
        <v>9.3144988592910245</v>
      </c>
      <c r="X44" s="58">
        <v>9.6885751186980507</v>
      </c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58" ht="12.75" x14ac:dyDescent="0.2">
      <c r="A45" s="148"/>
      <c r="B45" s="58">
        <v>1.6272842946491801</v>
      </c>
      <c r="C45" s="58">
        <v>2.0445366778926015</v>
      </c>
      <c r="D45" s="58">
        <v>2.4617890611352951</v>
      </c>
      <c r="E45" s="58">
        <v>2.8790414443789216</v>
      </c>
      <c r="F45" s="58">
        <v>3.296293827621803</v>
      </c>
      <c r="G45" s="58">
        <v>3.713546210864997</v>
      </c>
      <c r="H45" s="58">
        <v>4.1307985941087386</v>
      </c>
      <c r="I45" s="58">
        <v>4.5480509773509405</v>
      </c>
      <c r="J45" s="58">
        <v>4.9653033605961383</v>
      </c>
      <c r="K45" s="58">
        <v>5.382555743837738</v>
      </c>
      <c r="L45" s="58">
        <v>5.7998081270817581</v>
      </c>
      <c r="M45" s="58">
        <v>6.2170605103259966</v>
      </c>
      <c r="N45" s="58">
        <v>6.6343128935698745</v>
      </c>
      <c r="O45" s="58">
        <v>7.0515652768144355</v>
      </c>
      <c r="P45" s="58">
        <v>7.4688176600551817</v>
      </c>
      <c r="Q45" s="58">
        <v>7.8860700432978312</v>
      </c>
      <c r="R45" s="58">
        <v>8.3033224265438843</v>
      </c>
      <c r="S45" s="58">
        <v>8.720574809785905</v>
      </c>
      <c r="T45" s="58">
        <v>9.1378271930294677</v>
      </c>
      <c r="U45" s="58">
        <v>9.555079576273485</v>
      </c>
      <c r="V45" s="58">
        <v>9.9723319595155235</v>
      </c>
      <c r="W45" s="58">
        <v>10.389584342758679</v>
      </c>
      <c r="X45" s="58">
        <v>10.806836726002659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</row>
    <row r="46" spans="1:58" ht="12.75" x14ac:dyDescent="0.2">
      <c r="A46" s="148"/>
      <c r="B46" s="54" t="s">
        <v>58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</row>
    <row r="47" spans="1:58" ht="14.25" x14ac:dyDescent="0.2">
      <c r="A47" s="148"/>
      <c r="B47" s="58">
        <v>8.7760531466611393</v>
      </c>
      <c r="C47" s="58">
        <v>11.026323184266786</v>
      </c>
      <c r="D47" s="58">
        <v>13.276593221876297</v>
      </c>
      <c r="E47" s="58">
        <v>15.52686325948209</v>
      </c>
      <c r="F47" s="58">
        <v>17.777133297083211</v>
      </c>
      <c r="G47" s="58">
        <v>20.027403334688287</v>
      </c>
      <c r="H47" s="58">
        <v>22.277673372293052</v>
      </c>
      <c r="I47" s="58">
        <v>24.527943409906847</v>
      </c>
      <c r="J47" s="58">
        <v>26.778213447508012</v>
      </c>
      <c r="K47" s="58">
        <v>29.028483485112684</v>
      </c>
      <c r="L47" s="58">
        <v>31.27875352272255</v>
      </c>
      <c r="M47" s="58">
        <v>33.529023560323751</v>
      </c>
      <c r="N47" s="58">
        <v>35.779293597932181</v>
      </c>
      <c r="O47" s="58">
        <v>38.029563635538722</v>
      </c>
      <c r="P47" s="58">
        <v>40.279833673141773</v>
      </c>
      <c r="Q47" s="58">
        <v>42.530103710743894</v>
      </c>
      <c r="R47" s="58">
        <v>44.780373748364411</v>
      </c>
      <c r="S47" s="58">
        <v>47.030643785949366</v>
      </c>
      <c r="T47" s="58">
        <v>49.280913823570238</v>
      </c>
      <c r="U47" s="58">
        <v>51.531183861179763</v>
      </c>
      <c r="V47" s="58">
        <v>53.781453898778608</v>
      </c>
      <c r="W47" s="58">
        <v>56.031723936383479</v>
      </c>
      <c r="X47" s="58">
        <v>58.281993973992797</v>
      </c>
      <c r="Y47" s="106"/>
      <c r="Z47" s="106"/>
      <c r="AA47" s="106"/>
      <c r="AB47" s="106"/>
      <c r="AC47" s="106"/>
      <c r="AD47" s="106"/>
      <c r="AE47" s="106"/>
      <c r="AF47" s="106"/>
      <c r="AG47" s="86"/>
      <c r="AH47" s="86"/>
    </row>
    <row r="48" spans="1:58" s="224" customFormat="1" ht="15" x14ac:dyDescent="0.25">
      <c r="A48" s="220">
        <v>1015</v>
      </c>
      <c r="B48" s="221">
        <v>7.2971048873425683</v>
      </c>
      <c r="C48" s="221">
        <v>8.5834320367667996</v>
      </c>
      <c r="D48" s="221">
        <v>10.469759186188327</v>
      </c>
      <c r="E48" s="221">
        <v>12.056086335611649</v>
      </c>
      <c r="F48" s="221">
        <v>13.64241348503494</v>
      </c>
      <c r="G48" s="221">
        <v>15.228740634458266</v>
      </c>
      <c r="H48" s="221">
        <v>16.81506778387903</v>
      </c>
      <c r="I48" s="221">
        <v>18.401394933303568</v>
      </c>
      <c r="J48" s="221">
        <v>19.987722082727331</v>
      </c>
      <c r="K48" s="221">
        <v>21.574049232150323</v>
      </c>
      <c r="L48" s="221">
        <v>23.16037638157416</v>
      </c>
      <c r="M48" s="221">
        <v>24.746703530994733</v>
      </c>
      <c r="N48" s="221">
        <v>26.33303068041776</v>
      </c>
      <c r="O48" s="58">
        <v>29.505684979259001</v>
      </c>
      <c r="P48" s="58">
        <v>31.092012128681766</v>
      </c>
      <c r="Q48" s="58">
        <v>32.678339278108943</v>
      </c>
      <c r="R48" s="58">
        <v>34.264666427524524</v>
      </c>
      <c r="S48" s="58">
        <v>35.850993576956732</v>
      </c>
      <c r="T48" s="58">
        <v>37.437320726377841</v>
      </c>
      <c r="U48" s="58">
        <v>39.023647875793856</v>
      </c>
      <c r="V48" s="58">
        <v>40.609975025223626</v>
      </c>
      <c r="W48" s="58">
        <v>42.19630217464421</v>
      </c>
      <c r="X48" s="58">
        <v>43.446441999999998</v>
      </c>
      <c r="Y48" s="225"/>
      <c r="Z48" s="225"/>
      <c r="AA48" s="225"/>
      <c r="AB48" s="225"/>
      <c r="AC48" s="225"/>
      <c r="AD48" s="225"/>
      <c r="AE48" s="225"/>
      <c r="AF48" s="225"/>
      <c r="AG48" s="222"/>
      <c r="AH48" s="222"/>
      <c r="AI48" s="223"/>
      <c r="AJ48" s="223"/>
      <c r="AK48" s="223"/>
      <c r="AL48" s="223"/>
    </row>
    <row r="49" spans="1:36" ht="12.75" x14ac:dyDescent="0.2">
      <c r="A49" s="148"/>
      <c r="B49" s="58">
        <v>7.7756891576523204</v>
      </c>
      <c r="C49" s="58">
        <v>8.8899684288428009</v>
      </c>
      <c r="D49" s="58">
        <v>10.70424770003847</v>
      </c>
      <c r="E49" s="58">
        <v>12.518526971227468</v>
      </c>
      <c r="F49" s="58">
        <v>14.332806242417941</v>
      </c>
      <c r="G49" s="58">
        <v>16.147085513614506</v>
      </c>
      <c r="H49" s="58">
        <v>17.961364784801351</v>
      </c>
      <c r="I49" s="58">
        <v>19.775644056003109</v>
      </c>
      <c r="J49" s="58">
        <v>21.589923327192047</v>
      </c>
      <c r="K49" s="58">
        <v>23.404202598390675</v>
      </c>
      <c r="L49" s="58">
        <v>25.218481869579772</v>
      </c>
      <c r="M49" s="58">
        <v>27.032761140764766</v>
      </c>
      <c r="N49" s="58">
        <v>28.847040411959298</v>
      </c>
      <c r="O49" s="58">
        <v>30.661319683156815</v>
      </c>
      <c r="P49" s="58">
        <v>32.47559895435203</v>
      </c>
      <c r="Q49" s="58">
        <v>34.289878225531965</v>
      </c>
      <c r="R49" s="58">
        <v>36.104157496725627</v>
      </c>
      <c r="S49" s="58">
        <v>37.918436767911828</v>
      </c>
      <c r="T49" s="58">
        <v>39.73271603911639</v>
      </c>
      <c r="U49" s="58">
        <v>41.546995310299607</v>
      </c>
      <c r="V49" s="58">
        <v>43.361274581498606</v>
      </c>
      <c r="W49" s="58">
        <v>45.175553852690243</v>
      </c>
      <c r="X49" s="58">
        <v>46.989833123885496</v>
      </c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spans="1:36" ht="12.75" x14ac:dyDescent="0.2">
      <c r="A50" s="148"/>
      <c r="B50" s="58">
        <v>9.2291597708495292</v>
      </c>
      <c r="C50" s="58">
        <v>11.595610994142817</v>
      </c>
      <c r="D50" s="58">
        <v>13.962062217437429</v>
      </c>
      <c r="E50" s="58">
        <v>16.328513440729132</v>
      </c>
      <c r="F50" s="58">
        <v>18.694964664028952</v>
      </c>
      <c r="G50" s="58">
        <v>21.061415887323339</v>
      </c>
      <c r="H50" s="58">
        <v>23.427867110617399</v>
      </c>
      <c r="I50" s="58">
        <v>25.794318333909608</v>
      </c>
      <c r="J50" s="58">
        <v>28.160769557207097</v>
      </c>
      <c r="K50" s="58">
        <v>30.527220780500713</v>
      </c>
      <c r="L50" s="58">
        <v>32.893672003794975</v>
      </c>
      <c r="M50" s="58">
        <v>35.260123227094944</v>
      </c>
      <c r="N50" s="58">
        <v>37.626574450381817</v>
      </c>
      <c r="O50" s="58">
        <v>39.993025673665315</v>
      </c>
      <c r="P50" s="58">
        <v>42.359476896974819</v>
      </c>
      <c r="Q50" s="58">
        <v>44.725928120265785</v>
      </c>
      <c r="R50" s="58">
        <v>47.092379343576042</v>
      </c>
      <c r="S50" s="58">
        <v>49.45883056686344</v>
      </c>
      <c r="T50" s="58">
        <v>51.825281790144359</v>
      </c>
      <c r="U50" s="58">
        <v>54.19173301345829</v>
      </c>
      <c r="V50" s="58">
        <v>56.558184236745753</v>
      </c>
      <c r="W50" s="58">
        <v>58.924635460039582</v>
      </c>
      <c r="X50" s="58">
        <v>61.291086683338087</v>
      </c>
      <c r="Y50" s="86"/>
      <c r="Z50" s="86"/>
      <c r="AA50" s="86"/>
      <c r="AB50" s="86"/>
      <c r="AC50" s="86"/>
      <c r="AD50" s="86"/>
      <c r="AE50" s="86"/>
      <c r="AF50" s="86"/>
      <c r="AG50" s="86"/>
      <c r="AH50" s="86"/>
    </row>
    <row r="51" spans="1:36" x14ac:dyDescent="0.25">
      <c r="A51" s="148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129"/>
      <c r="O51" s="130"/>
      <c r="P51" s="130"/>
      <c r="Q51" s="194"/>
      <c r="R51" s="194" t="s">
        <v>31</v>
      </c>
      <c r="S51" s="194">
        <v>1025</v>
      </c>
      <c r="T51" s="194" t="s">
        <v>32</v>
      </c>
      <c r="U51" s="195">
        <v>4.55</v>
      </c>
      <c r="V51" s="196">
        <v>15</v>
      </c>
      <c r="W51" s="196"/>
      <c r="X51" s="196">
        <f>500*V53</f>
        <v>308.3</v>
      </c>
      <c r="Y51" s="196"/>
      <c r="Z51" s="196">
        <f>1000*V53</f>
        <v>616.6</v>
      </c>
      <c r="AA51" s="131"/>
      <c r="AB51" s="131"/>
      <c r="AC51" s="131"/>
      <c r="AD51" s="131"/>
      <c r="AE51" s="131"/>
      <c r="AF51" s="86"/>
      <c r="AG51" s="86"/>
      <c r="AH51" s="86"/>
    </row>
    <row r="52" spans="1:36" x14ac:dyDescent="0.25">
      <c r="A52" s="148"/>
      <c r="B52" s="197"/>
      <c r="C52" s="197"/>
      <c r="D52" s="197"/>
      <c r="E52" s="86"/>
      <c r="F52" s="86"/>
      <c r="G52" s="86"/>
      <c r="H52" s="86"/>
      <c r="I52" s="86"/>
      <c r="J52" s="86"/>
      <c r="K52" s="86"/>
      <c r="L52" s="86"/>
      <c r="M52" s="86"/>
      <c r="N52" s="129"/>
      <c r="O52" s="130"/>
      <c r="P52" s="130"/>
      <c r="Q52" s="194"/>
      <c r="R52" s="194" t="s">
        <v>31</v>
      </c>
      <c r="S52" s="194">
        <v>1020</v>
      </c>
      <c r="T52" s="194" t="s">
        <v>32</v>
      </c>
      <c r="U52" s="195">
        <v>4.0641999999999996</v>
      </c>
      <c r="V52" s="198">
        <f>X51*1.18</f>
        <v>363.79399999999998</v>
      </c>
      <c r="W52" s="196"/>
      <c r="X52" s="196">
        <f>Z51*1.18</f>
        <v>727.58799999999997</v>
      </c>
      <c r="Y52" s="196"/>
      <c r="Z52" s="131"/>
      <c r="AA52" s="131"/>
      <c r="AB52" s="131"/>
      <c r="AC52" s="131"/>
      <c r="AD52" s="131"/>
      <c r="AE52" s="131"/>
      <c r="AF52" s="86"/>
      <c r="AG52" s="86"/>
      <c r="AH52" s="86"/>
    </row>
    <row r="53" spans="1:36" x14ac:dyDescent="0.25">
      <c r="A53" s="148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129"/>
      <c r="O53" s="130"/>
      <c r="P53" s="130"/>
      <c r="Q53" s="194"/>
      <c r="R53" s="194" t="s">
        <v>31</v>
      </c>
      <c r="S53" s="194">
        <v>1010</v>
      </c>
      <c r="T53" s="194" t="s">
        <v>32</v>
      </c>
      <c r="U53" s="195">
        <v>2.0186999999999999</v>
      </c>
      <c r="V53" s="199">
        <f>-0.0001*T4*T4+0.0173*T4+0.469</f>
        <v>0.61660000000000004</v>
      </c>
      <c r="W53" s="199"/>
      <c r="X53" s="200"/>
      <c r="Y53" s="201"/>
      <c r="Z53" s="131"/>
      <c r="AA53" s="131"/>
      <c r="AB53" s="131"/>
      <c r="AC53" s="131"/>
      <c r="AD53" s="131"/>
      <c r="AE53" s="131"/>
      <c r="AF53" s="86"/>
      <c r="AG53" s="86"/>
      <c r="AH53" s="86"/>
      <c r="AI53" s="148"/>
      <c r="AJ53" s="86"/>
    </row>
    <row r="54" spans="1:36" x14ac:dyDescent="0.25">
      <c r="A54" s="148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129"/>
      <c r="O54" s="130"/>
      <c r="P54" s="130"/>
      <c r="Q54" s="194"/>
      <c r="R54" s="194"/>
      <c r="S54" s="194"/>
      <c r="T54" s="194">
        <f>V52/354.59</f>
        <v>1.0259567387687187</v>
      </c>
      <c r="U54" s="194"/>
      <c r="V54" s="194"/>
      <c r="W54" s="194"/>
      <c r="X54" s="132"/>
      <c r="Y54" s="131"/>
      <c r="Z54" s="131"/>
      <c r="AA54" s="200"/>
      <c r="AB54" s="131"/>
      <c r="AC54" s="131"/>
      <c r="AD54" s="131"/>
      <c r="AE54" s="131"/>
      <c r="AF54" s="86"/>
      <c r="AG54" s="86"/>
      <c r="AH54" s="86"/>
      <c r="AI54" s="148"/>
      <c r="AJ54" s="86"/>
    </row>
    <row r="55" spans="1:36" x14ac:dyDescent="0.25">
      <c r="A55" s="148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129"/>
      <c r="O55" s="130" t="s">
        <v>33</v>
      </c>
      <c r="P55" s="130"/>
      <c r="Q55" s="194"/>
      <c r="R55" s="194"/>
      <c r="S55" s="202">
        <f>AW12-1</f>
        <v>-1</v>
      </c>
      <c r="T55" s="203"/>
      <c r="U55" s="203"/>
      <c r="V55" s="203" t="s">
        <v>34</v>
      </c>
      <c r="W55" s="203"/>
      <c r="X55" s="132"/>
      <c r="Y55" s="131"/>
      <c r="Z55" s="200"/>
      <c r="AA55" s="131"/>
      <c r="AB55" s="131" t="s">
        <v>35</v>
      </c>
      <c r="AC55" s="131"/>
      <c r="AD55" s="131"/>
      <c r="AE55" s="131"/>
      <c r="AF55" s="86"/>
      <c r="AG55" s="86"/>
      <c r="AH55" s="86"/>
      <c r="AI55" s="148"/>
    </row>
    <row r="56" spans="1:36" x14ac:dyDescent="0.25">
      <c r="A56" s="148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129"/>
      <c r="O56" s="130"/>
      <c r="P56" s="130"/>
      <c r="Q56" s="194"/>
      <c r="R56" s="194"/>
      <c r="S56" s="194"/>
      <c r="T56" s="194"/>
      <c r="U56" s="194"/>
      <c r="V56" s="196">
        <v>15</v>
      </c>
      <c r="W56" s="196"/>
      <c r="X56" s="196">
        <f>500*AW12</f>
        <v>0</v>
      </c>
      <c r="Y56" s="196"/>
      <c r="Z56" s="196">
        <f>1000*AW12</f>
        <v>0</v>
      </c>
      <c r="AA56" s="131"/>
      <c r="AB56" s="204" t="s">
        <v>36</v>
      </c>
      <c r="AC56" s="262">
        <v>0.5</v>
      </c>
      <c r="AD56" s="262"/>
      <c r="AE56" s="131"/>
      <c r="AF56" s="128"/>
      <c r="AG56" s="86"/>
      <c r="AH56" s="86"/>
      <c r="AI56" s="148"/>
    </row>
    <row r="57" spans="1:36" x14ac:dyDescent="0.25">
      <c r="A57" s="148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129"/>
      <c r="O57" s="130"/>
      <c r="P57" s="130"/>
      <c r="Q57" s="194"/>
      <c r="R57" s="205"/>
      <c r="S57" s="194"/>
      <c r="T57" s="196"/>
      <c r="U57" s="196"/>
      <c r="V57" s="196">
        <f>X56*1.18</f>
        <v>0</v>
      </c>
      <c r="W57" s="196"/>
      <c r="X57" s="196">
        <f>Z56*1.18</f>
        <v>0</v>
      </c>
      <c r="Y57" s="196"/>
      <c r="Z57" s="131"/>
      <c r="AA57" s="131"/>
      <c r="AB57" s="261" t="e">
        <f>(0.01*#REF!/AC56)^2</f>
        <v>#REF!</v>
      </c>
      <c r="AC57" s="261"/>
      <c r="AD57" s="206" t="s">
        <v>37</v>
      </c>
      <c r="AE57" s="131"/>
      <c r="AF57" s="139"/>
      <c r="AG57" s="86"/>
      <c r="AH57" s="86"/>
      <c r="AI57" s="148"/>
    </row>
    <row r="58" spans="1:36" x14ac:dyDescent="0.25">
      <c r="A58" s="148"/>
      <c r="B58" s="86"/>
      <c r="D58" s="165"/>
      <c r="E58" s="86"/>
      <c r="F58" s="165"/>
      <c r="G58" s="86"/>
      <c r="H58" s="165"/>
      <c r="I58" s="86"/>
      <c r="L58" s="191">
        <f t="shared" ref="L58:AH58" si="25">L23-L13</f>
        <v>-71.682836999171585</v>
      </c>
      <c r="M58" s="191">
        <f t="shared" si="25"/>
        <v>-62.231814554226276</v>
      </c>
      <c r="N58" s="191">
        <f t="shared" si="25"/>
        <v>-52.780792109304912</v>
      </c>
      <c r="O58" s="191">
        <f t="shared" si="25"/>
        <v>-66.466861699581187</v>
      </c>
      <c r="P58" s="191">
        <f t="shared" si="25"/>
        <v>-60.369040998845691</v>
      </c>
      <c r="Q58" s="191">
        <f t="shared" si="25"/>
        <v>-54.271220298109597</v>
      </c>
      <c r="R58" s="191">
        <f t="shared" si="25"/>
        <v>-48.173399597439158</v>
      </c>
      <c r="S58" s="191">
        <f t="shared" si="25"/>
        <v>-42.075578896679872</v>
      </c>
      <c r="T58" s="191">
        <f t="shared" si="25"/>
        <v>-35.9777581960617</v>
      </c>
      <c r="U58" s="191">
        <f t="shared" si="25"/>
        <v>-29.879937495277716</v>
      </c>
      <c r="V58" s="191">
        <f t="shared" si="25"/>
        <v>-23.782116794473211</v>
      </c>
      <c r="W58" s="191">
        <f t="shared" si="25"/>
        <v>-17.684296093910461</v>
      </c>
      <c r="X58" s="191">
        <f t="shared" si="25"/>
        <v>-11.586475393173373</v>
      </c>
      <c r="Y58" s="191">
        <f t="shared" si="25"/>
        <v>-5.4886546924562936</v>
      </c>
      <c r="Z58" s="191">
        <f t="shared" si="25"/>
        <v>0.60916600822361033</v>
      </c>
      <c r="AA58" s="191">
        <f t="shared" si="25"/>
        <v>6.7069867089599597</v>
      </c>
      <c r="AB58" s="191">
        <f t="shared" si="25"/>
        <v>12.804807409758951</v>
      </c>
      <c r="AC58" s="191">
        <f t="shared" si="25"/>
        <v>18.902628110393266</v>
      </c>
      <c r="AD58" s="191">
        <f t="shared" si="25"/>
        <v>25.000448811038893</v>
      </c>
      <c r="AE58" s="191">
        <f t="shared" si="25"/>
        <v>31.098269511864373</v>
      </c>
      <c r="AF58" s="191">
        <f t="shared" si="25"/>
        <v>37.196090212499598</v>
      </c>
      <c r="AG58" s="191">
        <f t="shared" si="25"/>
        <v>43.29391091328614</v>
      </c>
      <c r="AH58" s="191">
        <f t="shared" si="25"/>
        <v>49.391731613945353</v>
      </c>
      <c r="AI58" s="148"/>
    </row>
    <row r="59" spans="1:36" x14ac:dyDescent="0.25">
      <c r="A59" s="148"/>
      <c r="B59" s="86"/>
      <c r="D59" s="165"/>
      <c r="E59" s="86"/>
      <c r="F59" s="165"/>
      <c r="G59" s="86"/>
      <c r="H59" s="165"/>
      <c r="I59" s="86"/>
      <c r="L59" s="192">
        <f t="shared" ref="L59:AH59" si="26">L27-L14</f>
        <v>-122.7939449287887</v>
      </c>
      <c r="M59" s="192">
        <f t="shared" si="26"/>
        <v>-102.23515853122495</v>
      </c>
      <c r="N59" s="192">
        <f t="shared" si="26"/>
        <v>-120.76747271447061</v>
      </c>
      <c r="O59" s="192">
        <f t="shared" si="26"/>
        <v>-106.83429658473062</v>
      </c>
      <c r="P59" s="192">
        <f t="shared" si="26"/>
        <v>-92.901120455115631</v>
      </c>
      <c r="Q59" s="192">
        <f t="shared" si="26"/>
        <v>-78.967944325527185</v>
      </c>
      <c r="R59" s="192">
        <f t="shared" si="26"/>
        <v>-65.034768195890422</v>
      </c>
      <c r="S59" s="192">
        <f t="shared" si="26"/>
        <v>-51.101592066064427</v>
      </c>
      <c r="T59" s="192">
        <f t="shared" si="26"/>
        <v>-37.168415936420843</v>
      </c>
      <c r="U59" s="192">
        <f t="shared" si="26"/>
        <v>-23.235239806779077</v>
      </c>
      <c r="V59" s="192">
        <f t="shared" si="26"/>
        <v>-9.3020636772210992</v>
      </c>
      <c r="W59" s="192">
        <f t="shared" si="26"/>
        <v>4.6311124524370371</v>
      </c>
      <c r="X59" s="192">
        <f t="shared" si="26"/>
        <v>18.56428858215088</v>
      </c>
      <c r="Y59" s="192">
        <f t="shared" si="26"/>
        <v>32.497464711707721</v>
      </c>
      <c r="Z59" s="192">
        <f t="shared" si="26"/>
        <v>46.430640841425316</v>
      </c>
      <c r="AA59" s="192">
        <f t="shared" si="26"/>
        <v>60.363816970876087</v>
      </c>
      <c r="AB59" s="192">
        <f t="shared" si="26"/>
        <v>74.296993100836062</v>
      </c>
      <c r="AC59" s="192">
        <f t="shared" si="26"/>
        <v>88.230169230484194</v>
      </c>
      <c r="AD59" s="192">
        <f t="shared" si="26"/>
        <v>102.16334536001784</v>
      </c>
      <c r="AE59" s="192">
        <f t="shared" si="26"/>
        <v>116.09652148974703</v>
      </c>
      <c r="AF59" s="192">
        <f t="shared" si="26"/>
        <v>130.02969761908696</v>
      </c>
      <c r="AG59" s="192">
        <f t="shared" si="26"/>
        <v>143.96287374940198</v>
      </c>
      <c r="AH59" s="192">
        <f t="shared" si="26"/>
        <v>157.89604987878943</v>
      </c>
    </row>
    <row r="60" spans="1:36" x14ac:dyDescent="0.25">
      <c r="A60" s="148"/>
      <c r="B60" s="86"/>
      <c r="D60" s="165"/>
      <c r="E60" s="86"/>
      <c r="F60" s="165"/>
      <c r="G60" s="86"/>
      <c r="H60" s="165"/>
      <c r="I60" s="86"/>
      <c r="L60" s="192">
        <f t="shared" ref="L60:AH60" si="27">L29-L15</f>
        <v>-166.91890558252135</v>
      </c>
      <c r="M60" s="192">
        <f t="shared" si="27"/>
        <v>-190.49755138454913</v>
      </c>
      <c r="N60" s="192">
        <f t="shared" si="27"/>
        <v>-177.09731576897866</v>
      </c>
      <c r="O60" s="192">
        <f t="shared" si="27"/>
        <v>-163.69708015328422</v>
      </c>
      <c r="P60" s="192">
        <f t="shared" si="27"/>
        <v>-150.29684453768874</v>
      </c>
      <c r="Q60" s="192">
        <f t="shared" si="27"/>
        <v>-185.74042996255343</v>
      </c>
      <c r="R60" s="192">
        <f t="shared" si="27"/>
        <v>-175.59644908287726</v>
      </c>
      <c r="S60" s="192">
        <f t="shared" si="27"/>
        <v>-165.45246820340549</v>
      </c>
      <c r="T60" s="192">
        <f t="shared" si="27"/>
        <v>-155.30848732353581</v>
      </c>
      <c r="U60" s="192">
        <f t="shared" si="27"/>
        <v>-145.16450644414408</v>
      </c>
      <c r="V60" s="192">
        <f t="shared" si="27"/>
        <v>-135.02052556443095</v>
      </c>
      <c r="W60" s="192">
        <f t="shared" si="27"/>
        <v>-124.87654468468884</v>
      </c>
      <c r="X60" s="192">
        <f t="shared" si="27"/>
        <v>-114.73256380499447</v>
      </c>
      <c r="Y60" s="192">
        <f t="shared" si="27"/>
        <v>-104.58858292520949</v>
      </c>
      <c r="Z60" s="192">
        <f t="shared" si="27"/>
        <v>-94.444602045930992</v>
      </c>
      <c r="AA60" s="192">
        <f t="shared" si="27"/>
        <v>-84.300621166399651</v>
      </c>
      <c r="AB60" s="192">
        <f t="shared" si="27"/>
        <v>-74.156640286416632</v>
      </c>
      <c r="AC60" s="192">
        <f t="shared" si="27"/>
        <v>-64.012659406969078</v>
      </c>
      <c r="AD60" s="192">
        <f t="shared" si="27"/>
        <v>-53.868678527316206</v>
      </c>
      <c r="AE60" s="192">
        <f t="shared" si="27"/>
        <v>-43.724697647603762</v>
      </c>
      <c r="AF60" s="192">
        <f t="shared" si="27"/>
        <v>-33.580716768153479</v>
      </c>
      <c r="AG60" s="192">
        <f t="shared" si="27"/>
        <v>-23.436735888555177</v>
      </c>
      <c r="AH60" s="192">
        <f t="shared" si="27"/>
        <v>-13.29275500884728</v>
      </c>
    </row>
    <row r="61" spans="1:36" x14ac:dyDescent="0.25">
      <c r="A61" s="148"/>
      <c r="B61" s="86"/>
      <c r="D61" s="165"/>
      <c r="E61" s="86"/>
      <c r="F61" s="165"/>
      <c r="G61" s="86"/>
      <c r="H61" s="165"/>
      <c r="I61" s="86"/>
      <c r="L61" s="86"/>
      <c r="M61" s="86"/>
      <c r="N61" s="86"/>
      <c r="O61" s="86"/>
    </row>
    <row r="62" spans="1:36" x14ac:dyDescent="0.25">
      <c r="B62" s="86"/>
      <c r="D62" s="165"/>
      <c r="E62" s="86"/>
      <c r="F62" s="165"/>
      <c r="G62" s="86"/>
      <c r="H62" s="165"/>
      <c r="I62" s="86"/>
      <c r="L62" s="86"/>
      <c r="M62" s="86"/>
      <c r="N62" s="86"/>
      <c r="O62" s="86"/>
    </row>
    <row r="63" spans="1:36" x14ac:dyDescent="0.25">
      <c r="B63" s="86"/>
      <c r="D63" s="165"/>
      <c r="E63" s="86"/>
      <c r="F63" s="165"/>
      <c r="G63" s="86"/>
      <c r="H63" s="165"/>
      <c r="I63" s="86"/>
      <c r="L63" s="86"/>
      <c r="M63" s="86"/>
      <c r="N63" s="86"/>
      <c r="O63" s="86"/>
    </row>
    <row r="64" spans="1:36" x14ac:dyDescent="0.25">
      <c r="B64" s="86"/>
      <c r="D64" s="165"/>
      <c r="E64" s="86"/>
      <c r="F64" s="165"/>
      <c r="G64" s="86"/>
      <c r="H64" s="165"/>
      <c r="I64" s="86"/>
      <c r="L64" s="86"/>
      <c r="M64" s="86"/>
      <c r="N64" s="86"/>
      <c r="O64" s="86"/>
    </row>
    <row r="65" spans="2:34" x14ac:dyDescent="0.25">
      <c r="B65" s="86"/>
      <c r="D65" s="165"/>
      <c r="E65" s="86"/>
      <c r="F65" s="165"/>
      <c r="G65" s="86"/>
      <c r="H65" s="165"/>
      <c r="I65" s="86"/>
      <c r="L65" s="86"/>
      <c r="M65" s="86"/>
      <c r="N65" s="86"/>
      <c r="O65" s="86"/>
    </row>
    <row r="66" spans="2:34" x14ac:dyDescent="0.25">
      <c r="B66" s="86"/>
      <c r="D66" s="165"/>
      <c r="E66" s="86"/>
      <c r="F66" s="165"/>
      <c r="G66" s="86"/>
      <c r="H66" s="165"/>
      <c r="I66" s="86"/>
      <c r="L66" s="86"/>
      <c r="M66" s="86"/>
      <c r="N66" s="86"/>
      <c r="O66" s="86"/>
    </row>
    <row r="67" spans="2:34" x14ac:dyDescent="0.25">
      <c r="B67" s="86"/>
      <c r="D67" s="165"/>
      <c r="E67" s="86"/>
      <c r="F67" s="165"/>
      <c r="G67" s="86"/>
      <c r="H67" s="165"/>
      <c r="I67" s="86"/>
      <c r="L67" s="86"/>
      <c r="M67" s="86"/>
      <c r="N67" s="86"/>
      <c r="O67" s="86"/>
    </row>
    <row r="68" spans="2:34" x14ac:dyDescent="0.25">
      <c r="B68" s="86"/>
      <c r="D68" s="165"/>
      <c r="E68" s="86"/>
      <c r="F68" s="165"/>
      <c r="G68" s="86"/>
      <c r="H68" s="165"/>
      <c r="I68" s="86"/>
      <c r="L68" s="86"/>
      <c r="M68" s="86"/>
      <c r="N68" s="86"/>
      <c r="O68" s="86"/>
    </row>
    <row r="69" spans="2:34" x14ac:dyDescent="0.25">
      <c r="B69" s="86"/>
      <c r="D69" s="165"/>
      <c r="E69" s="86"/>
      <c r="F69" s="165"/>
      <c r="G69" s="86"/>
      <c r="H69" s="165"/>
      <c r="I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140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2:34" x14ac:dyDescent="0.25">
      <c r="B70" s="86"/>
      <c r="D70" s="165"/>
      <c r="E70" s="86"/>
      <c r="F70" s="165"/>
      <c r="G70" s="86"/>
      <c r="H70" s="165"/>
      <c r="I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140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</row>
  </sheetData>
  <mergeCells count="34">
    <mergeCell ref="AB57:AC57"/>
    <mergeCell ref="J28:K28"/>
    <mergeCell ref="J29:K29"/>
    <mergeCell ref="J30:K30"/>
    <mergeCell ref="B31:Q31"/>
    <mergeCell ref="J32:K32"/>
    <mergeCell ref="J33:K33"/>
    <mergeCell ref="J36:K36"/>
    <mergeCell ref="J37:K37"/>
    <mergeCell ref="J38:K38"/>
    <mergeCell ref="J39:K39"/>
    <mergeCell ref="AC56:AD56"/>
    <mergeCell ref="J34:K34"/>
    <mergeCell ref="J35:K35"/>
    <mergeCell ref="J27:K27"/>
    <mergeCell ref="J14:K14"/>
    <mergeCell ref="J15:K15"/>
    <mergeCell ref="B16:Q16"/>
    <mergeCell ref="J17:K17"/>
    <mergeCell ref="J18:K18"/>
    <mergeCell ref="J19:K19"/>
    <mergeCell ref="B21:Q21"/>
    <mergeCell ref="B22:I22"/>
    <mergeCell ref="J22:K22"/>
    <mergeCell ref="J23:K23"/>
    <mergeCell ref="J24:K24"/>
    <mergeCell ref="J25:K25"/>
    <mergeCell ref="J26:K26"/>
    <mergeCell ref="J13:K13"/>
    <mergeCell ref="B2:S2"/>
    <mergeCell ref="B3:X3"/>
    <mergeCell ref="B11:Q11"/>
    <mergeCell ref="B12:I12"/>
    <mergeCell ref="J12:K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0D4-7416-42EC-9151-C3876FB7E9E3}">
  <sheetPr codeName="List4"/>
  <dimension ref="A1:AP47"/>
  <sheetViews>
    <sheetView showGridLines="0" tabSelected="1" zoomScaleNormal="100" workbookViewId="0">
      <selection activeCell="AF17" sqref="AF17"/>
    </sheetView>
  </sheetViews>
  <sheetFormatPr defaultRowHeight="18" x14ac:dyDescent="0.25"/>
  <cols>
    <col min="1" max="1" width="9.140625" style="7"/>
    <col min="2" max="2" width="6.5703125" style="7" customWidth="1"/>
    <col min="3" max="3" width="5.7109375" style="50" customWidth="1"/>
    <col min="4" max="4" width="1.42578125" style="61" customWidth="1"/>
    <col min="5" max="5" width="5.28515625" style="7" customWidth="1"/>
    <col min="6" max="6" width="1" style="61" customWidth="1"/>
    <col min="7" max="7" width="7" style="7" customWidth="1"/>
    <col min="8" max="8" width="1.42578125" style="61" customWidth="1"/>
    <col min="9" max="9" width="4" style="7" customWidth="1"/>
    <col min="10" max="10" width="8.5703125" style="23" customWidth="1"/>
    <col min="11" max="11" width="4.42578125" style="52" customWidth="1"/>
    <col min="12" max="12" width="6.7109375" style="7" customWidth="1"/>
    <col min="13" max="13" width="12.140625" style="7" customWidth="1"/>
    <col min="14" max="14" width="13.140625" style="7" customWidth="1"/>
    <col min="15" max="15" width="9.140625" style="7" customWidth="1"/>
    <col min="16" max="16" width="7.5703125" style="7" customWidth="1"/>
    <col min="17" max="17" width="5.42578125" style="50" customWidth="1"/>
    <col min="18" max="18" width="1.42578125" style="61" customWidth="1"/>
    <col min="19" max="19" width="5.28515625" style="7" customWidth="1"/>
    <col min="20" max="20" width="1" style="61" customWidth="1"/>
    <col min="21" max="21" width="5.5703125" style="7" customWidth="1"/>
    <col min="22" max="22" width="1.28515625" style="61" customWidth="1"/>
    <col min="23" max="23" width="5.42578125" style="7" customWidth="1"/>
    <col min="24" max="24" width="8" style="23" customWidth="1"/>
    <col min="25" max="25" width="4.7109375" style="52" customWidth="1"/>
    <col min="26" max="26" width="6.7109375" style="7" customWidth="1"/>
    <col min="27" max="27" width="11.42578125" style="7" customWidth="1"/>
    <col min="28" max="28" width="14.42578125" style="7" customWidth="1"/>
    <col min="29" max="29" width="20.7109375" style="7" bestFit="1" customWidth="1"/>
    <col min="30" max="33" width="11.28515625" style="7" bestFit="1" customWidth="1"/>
    <col min="34" max="34" width="20.7109375" style="7" bestFit="1" customWidth="1"/>
    <col min="35" max="35" width="11.28515625" style="7" bestFit="1" customWidth="1"/>
    <col min="36" max="36" width="8.7109375" style="7" customWidth="1"/>
    <col min="37" max="41" width="11.28515625" style="7" bestFit="1" customWidth="1"/>
    <col min="42" max="42" width="18.85546875" style="7" bestFit="1" customWidth="1"/>
    <col min="43" max="51" width="11.28515625" style="7" bestFit="1" customWidth="1"/>
    <col min="52" max="257" width="9.140625" style="7"/>
    <col min="258" max="258" width="6.5703125" style="7" customWidth="1"/>
    <col min="259" max="259" width="5.7109375" style="7" customWidth="1"/>
    <col min="260" max="260" width="1.42578125" style="7" customWidth="1"/>
    <col min="261" max="261" width="5.28515625" style="7" customWidth="1"/>
    <col min="262" max="262" width="1" style="7" customWidth="1"/>
    <col min="263" max="263" width="2.140625" style="7" customWidth="1"/>
    <col min="264" max="264" width="1.42578125" style="7" customWidth="1"/>
    <col min="265" max="265" width="4" style="7" customWidth="1"/>
    <col min="266" max="266" width="10.140625" style="7" customWidth="1"/>
    <col min="267" max="267" width="6" style="7" customWidth="1"/>
    <col min="268" max="268" width="6.7109375" style="7" customWidth="1"/>
    <col min="269" max="269" width="12.85546875" style="7" customWidth="1"/>
    <col min="270" max="270" width="10.7109375" style="7" customWidth="1"/>
    <col min="271" max="271" width="9.140625" style="7"/>
    <col min="272" max="272" width="6.5703125" style="7" customWidth="1"/>
    <col min="273" max="273" width="7.5703125" style="7" customWidth="1"/>
    <col min="274" max="274" width="1.42578125" style="7" customWidth="1"/>
    <col min="275" max="275" width="5.28515625" style="7" customWidth="1"/>
    <col min="276" max="276" width="1" style="7" customWidth="1"/>
    <col min="277" max="277" width="2.140625" style="7" customWidth="1"/>
    <col min="278" max="278" width="1.42578125" style="7" customWidth="1"/>
    <col min="279" max="279" width="4" style="7" customWidth="1"/>
    <col min="280" max="280" width="10.140625" style="7" customWidth="1"/>
    <col min="281" max="281" width="6" style="7" customWidth="1"/>
    <col min="282" max="282" width="6.7109375" style="7" customWidth="1"/>
    <col min="283" max="283" width="11.42578125" style="7" customWidth="1"/>
    <col min="284" max="284" width="10.7109375" style="7" customWidth="1"/>
    <col min="285" max="301" width="4.85546875" style="7" customWidth="1"/>
    <col min="302" max="513" width="9.140625" style="7"/>
    <col min="514" max="514" width="6.5703125" style="7" customWidth="1"/>
    <col min="515" max="515" width="5.7109375" style="7" customWidth="1"/>
    <col min="516" max="516" width="1.42578125" style="7" customWidth="1"/>
    <col min="517" max="517" width="5.28515625" style="7" customWidth="1"/>
    <col min="518" max="518" width="1" style="7" customWidth="1"/>
    <col min="519" max="519" width="2.140625" style="7" customWidth="1"/>
    <col min="520" max="520" width="1.42578125" style="7" customWidth="1"/>
    <col min="521" max="521" width="4" style="7" customWidth="1"/>
    <col min="522" max="522" width="10.140625" style="7" customWidth="1"/>
    <col min="523" max="523" width="6" style="7" customWidth="1"/>
    <col min="524" max="524" width="6.7109375" style="7" customWidth="1"/>
    <col min="525" max="525" width="12.85546875" style="7" customWidth="1"/>
    <col min="526" max="526" width="10.7109375" style="7" customWidth="1"/>
    <col min="527" max="527" width="9.140625" style="7"/>
    <col min="528" max="528" width="6.5703125" style="7" customWidth="1"/>
    <col min="529" max="529" width="7.5703125" style="7" customWidth="1"/>
    <col min="530" max="530" width="1.42578125" style="7" customWidth="1"/>
    <col min="531" max="531" width="5.28515625" style="7" customWidth="1"/>
    <col min="532" max="532" width="1" style="7" customWidth="1"/>
    <col min="533" max="533" width="2.140625" style="7" customWidth="1"/>
    <col min="534" max="534" width="1.42578125" style="7" customWidth="1"/>
    <col min="535" max="535" width="4" style="7" customWidth="1"/>
    <col min="536" max="536" width="10.140625" style="7" customWidth="1"/>
    <col min="537" max="537" width="6" style="7" customWidth="1"/>
    <col min="538" max="538" width="6.7109375" style="7" customWidth="1"/>
    <col min="539" max="539" width="11.42578125" style="7" customWidth="1"/>
    <col min="540" max="540" width="10.7109375" style="7" customWidth="1"/>
    <col min="541" max="557" width="4.85546875" style="7" customWidth="1"/>
    <col min="558" max="769" width="9.140625" style="7"/>
    <col min="770" max="770" width="6.5703125" style="7" customWidth="1"/>
    <col min="771" max="771" width="5.7109375" style="7" customWidth="1"/>
    <col min="772" max="772" width="1.42578125" style="7" customWidth="1"/>
    <col min="773" max="773" width="5.28515625" style="7" customWidth="1"/>
    <col min="774" max="774" width="1" style="7" customWidth="1"/>
    <col min="775" max="775" width="2.140625" style="7" customWidth="1"/>
    <col min="776" max="776" width="1.42578125" style="7" customWidth="1"/>
    <col min="777" max="777" width="4" style="7" customWidth="1"/>
    <col min="778" max="778" width="10.140625" style="7" customWidth="1"/>
    <col min="779" max="779" width="6" style="7" customWidth="1"/>
    <col min="780" max="780" width="6.7109375" style="7" customWidth="1"/>
    <col min="781" max="781" width="12.85546875" style="7" customWidth="1"/>
    <col min="782" max="782" width="10.7109375" style="7" customWidth="1"/>
    <col min="783" max="783" width="9.140625" style="7"/>
    <col min="784" max="784" width="6.5703125" style="7" customWidth="1"/>
    <col min="785" max="785" width="7.5703125" style="7" customWidth="1"/>
    <col min="786" max="786" width="1.42578125" style="7" customWidth="1"/>
    <col min="787" max="787" width="5.28515625" style="7" customWidth="1"/>
    <col min="788" max="788" width="1" style="7" customWidth="1"/>
    <col min="789" max="789" width="2.140625" style="7" customWidth="1"/>
    <col min="790" max="790" width="1.42578125" style="7" customWidth="1"/>
    <col min="791" max="791" width="4" style="7" customWidth="1"/>
    <col min="792" max="792" width="10.140625" style="7" customWidth="1"/>
    <col min="793" max="793" width="6" style="7" customWidth="1"/>
    <col min="794" max="794" width="6.7109375" style="7" customWidth="1"/>
    <col min="795" max="795" width="11.42578125" style="7" customWidth="1"/>
    <col min="796" max="796" width="10.7109375" style="7" customWidth="1"/>
    <col min="797" max="813" width="4.85546875" style="7" customWidth="1"/>
    <col min="814" max="1025" width="9.140625" style="7"/>
    <col min="1026" max="1026" width="6.5703125" style="7" customWidth="1"/>
    <col min="1027" max="1027" width="5.7109375" style="7" customWidth="1"/>
    <col min="1028" max="1028" width="1.42578125" style="7" customWidth="1"/>
    <col min="1029" max="1029" width="5.28515625" style="7" customWidth="1"/>
    <col min="1030" max="1030" width="1" style="7" customWidth="1"/>
    <col min="1031" max="1031" width="2.140625" style="7" customWidth="1"/>
    <col min="1032" max="1032" width="1.42578125" style="7" customWidth="1"/>
    <col min="1033" max="1033" width="4" style="7" customWidth="1"/>
    <col min="1034" max="1034" width="10.140625" style="7" customWidth="1"/>
    <col min="1035" max="1035" width="6" style="7" customWidth="1"/>
    <col min="1036" max="1036" width="6.7109375" style="7" customWidth="1"/>
    <col min="1037" max="1037" width="12.85546875" style="7" customWidth="1"/>
    <col min="1038" max="1038" width="10.7109375" style="7" customWidth="1"/>
    <col min="1039" max="1039" width="9.140625" style="7"/>
    <col min="1040" max="1040" width="6.5703125" style="7" customWidth="1"/>
    <col min="1041" max="1041" width="7.5703125" style="7" customWidth="1"/>
    <col min="1042" max="1042" width="1.42578125" style="7" customWidth="1"/>
    <col min="1043" max="1043" width="5.28515625" style="7" customWidth="1"/>
    <col min="1044" max="1044" width="1" style="7" customWidth="1"/>
    <col min="1045" max="1045" width="2.140625" style="7" customWidth="1"/>
    <col min="1046" max="1046" width="1.42578125" style="7" customWidth="1"/>
    <col min="1047" max="1047" width="4" style="7" customWidth="1"/>
    <col min="1048" max="1048" width="10.140625" style="7" customWidth="1"/>
    <col min="1049" max="1049" width="6" style="7" customWidth="1"/>
    <col min="1050" max="1050" width="6.7109375" style="7" customWidth="1"/>
    <col min="1051" max="1051" width="11.42578125" style="7" customWidth="1"/>
    <col min="1052" max="1052" width="10.7109375" style="7" customWidth="1"/>
    <col min="1053" max="1069" width="4.85546875" style="7" customWidth="1"/>
    <col min="1070" max="1281" width="9.140625" style="7"/>
    <col min="1282" max="1282" width="6.5703125" style="7" customWidth="1"/>
    <col min="1283" max="1283" width="5.7109375" style="7" customWidth="1"/>
    <col min="1284" max="1284" width="1.42578125" style="7" customWidth="1"/>
    <col min="1285" max="1285" width="5.28515625" style="7" customWidth="1"/>
    <col min="1286" max="1286" width="1" style="7" customWidth="1"/>
    <col min="1287" max="1287" width="2.140625" style="7" customWidth="1"/>
    <col min="1288" max="1288" width="1.42578125" style="7" customWidth="1"/>
    <col min="1289" max="1289" width="4" style="7" customWidth="1"/>
    <col min="1290" max="1290" width="10.140625" style="7" customWidth="1"/>
    <col min="1291" max="1291" width="6" style="7" customWidth="1"/>
    <col min="1292" max="1292" width="6.7109375" style="7" customWidth="1"/>
    <col min="1293" max="1293" width="12.85546875" style="7" customWidth="1"/>
    <col min="1294" max="1294" width="10.7109375" style="7" customWidth="1"/>
    <col min="1295" max="1295" width="9.140625" style="7"/>
    <col min="1296" max="1296" width="6.5703125" style="7" customWidth="1"/>
    <col min="1297" max="1297" width="7.5703125" style="7" customWidth="1"/>
    <col min="1298" max="1298" width="1.42578125" style="7" customWidth="1"/>
    <col min="1299" max="1299" width="5.28515625" style="7" customWidth="1"/>
    <col min="1300" max="1300" width="1" style="7" customWidth="1"/>
    <col min="1301" max="1301" width="2.140625" style="7" customWidth="1"/>
    <col min="1302" max="1302" width="1.42578125" style="7" customWidth="1"/>
    <col min="1303" max="1303" width="4" style="7" customWidth="1"/>
    <col min="1304" max="1304" width="10.140625" style="7" customWidth="1"/>
    <col min="1305" max="1305" width="6" style="7" customWidth="1"/>
    <col min="1306" max="1306" width="6.7109375" style="7" customWidth="1"/>
    <col min="1307" max="1307" width="11.42578125" style="7" customWidth="1"/>
    <col min="1308" max="1308" width="10.7109375" style="7" customWidth="1"/>
    <col min="1309" max="1325" width="4.85546875" style="7" customWidth="1"/>
    <col min="1326" max="1537" width="9.140625" style="7"/>
    <col min="1538" max="1538" width="6.5703125" style="7" customWidth="1"/>
    <col min="1539" max="1539" width="5.7109375" style="7" customWidth="1"/>
    <col min="1540" max="1540" width="1.42578125" style="7" customWidth="1"/>
    <col min="1541" max="1541" width="5.28515625" style="7" customWidth="1"/>
    <col min="1542" max="1542" width="1" style="7" customWidth="1"/>
    <col min="1543" max="1543" width="2.140625" style="7" customWidth="1"/>
    <col min="1544" max="1544" width="1.42578125" style="7" customWidth="1"/>
    <col min="1545" max="1545" width="4" style="7" customWidth="1"/>
    <col min="1546" max="1546" width="10.140625" style="7" customWidth="1"/>
    <col min="1547" max="1547" width="6" style="7" customWidth="1"/>
    <col min="1548" max="1548" width="6.7109375" style="7" customWidth="1"/>
    <col min="1549" max="1549" width="12.85546875" style="7" customWidth="1"/>
    <col min="1550" max="1550" width="10.7109375" style="7" customWidth="1"/>
    <col min="1551" max="1551" width="9.140625" style="7"/>
    <col min="1552" max="1552" width="6.5703125" style="7" customWidth="1"/>
    <col min="1553" max="1553" width="7.5703125" style="7" customWidth="1"/>
    <col min="1554" max="1554" width="1.42578125" style="7" customWidth="1"/>
    <col min="1555" max="1555" width="5.28515625" style="7" customWidth="1"/>
    <col min="1556" max="1556" width="1" style="7" customWidth="1"/>
    <col min="1557" max="1557" width="2.140625" style="7" customWidth="1"/>
    <col min="1558" max="1558" width="1.42578125" style="7" customWidth="1"/>
    <col min="1559" max="1559" width="4" style="7" customWidth="1"/>
    <col min="1560" max="1560" width="10.140625" style="7" customWidth="1"/>
    <col min="1561" max="1561" width="6" style="7" customWidth="1"/>
    <col min="1562" max="1562" width="6.7109375" style="7" customWidth="1"/>
    <col min="1563" max="1563" width="11.42578125" style="7" customWidth="1"/>
    <col min="1564" max="1564" width="10.7109375" style="7" customWidth="1"/>
    <col min="1565" max="1581" width="4.85546875" style="7" customWidth="1"/>
    <col min="1582" max="1793" width="9.140625" style="7"/>
    <col min="1794" max="1794" width="6.5703125" style="7" customWidth="1"/>
    <col min="1795" max="1795" width="5.7109375" style="7" customWidth="1"/>
    <col min="1796" max="1796" width="1.42578125" style="7" customWidth="1"/>
    <col min="1797" max="1797" width="5.28515625" style="7" customWidth="1"/>
    <col min="1798" max="1798" width="1" style="7" customWidth="1"/>
    <col min="1799" max="1799" width="2.140625" style="7" customWidth="1"/>
    <col min="1800" max="1800" width="1.42578125" style="7" customWidth="1"/>
    <col min="1801" max="1801" width="4" style="7" customWidth="1"/>
    <col min="1802" max="1802" width="10.140625" style="7" customWidth="1"/>
    <col min="1803" max="1803" width="6" style="7" customWidth="1"/>
    <col min="1804" max="1804" width="6.7109375" style="7" customWidth="1"/>
    <col min="1805" max="1805" width="12.85546875" style="7" customWidth="1"/>
    <col min="1806" max="1806" width="10.7109375" style="7" customWidth="1"/>
    <col min="1807" max="1807" width="9.140625" style="7"/>
    <col min="1808" max="1808" width="6.5703125" style="7" customWidth="1"/>
    <col min="1809" max="1809" width="7.5703125" style="7" customWidth="1"/>
    <col min="1810" max="1810" width="1.42578125" style="7" customWidth="1"/>
    <col min="1811" max="1811" width="5.28515625" style="7" customWidth="1"/>
    <col min="1812" max="1812" width="1" style="7" customWidth="1"/>
    <col min="1813" max="1813" width="2.140625" style="7" customWidth="1"/>
    <col min="1814" max="1814" width="1.42578125" style="7" customWidth="1"/>
    <col min="1815" max="1815" width="4" style="7" customWidth="1"/>
    <col min="1816" max="1816" width="10.140625" style="7" customWidth="1"/>
    <col min="1817" max="1817" width="6" style="7" customWidth="1"/>
    <col min="1818" max="1818" width="6.7109375" style="7" customWidth="1"/>
    <col min="1819" max="1819" width="11.42578125" style="7" customWidth="1"/>
    <col min="1820" max="1820" width="10.7109375" style="7" customWidth="1"/>
    <col min="1821" max="1837" width="4.85546875" style="7" customWidth="1"/>
    <col min="1838" max="2049" width="9.140625" style="7"/>
    <col min="2050" max="2050" width="6.5703125" style="7" customWidth="1"/>
    <col min="2051" max="2051" width="5.7109375" style="7" customWidth="1"/>
    <col min="2052" max="2052" width="1.42578125" style="7" customWidth="1"/>
    <col min="2053" max="2053" width="5.28515625" style="7" customWidth="1"/>
    <col min="2054" max="2054" width="1" style="7" customWidth="1"/>
    <col min="2055" max="2055" width="2.140625" style="7" customWidth="1"/>
    <col min="2056" max="2056" width="1.42578125" style="7" customWidth="1"/>
    <col min="2057" max="2057" width="4" style="7" customWidth="1"/>
    <col min="2058" max="2058" width="10.140625" style="7" customWidth="1"/>
    <col min="2059" max="2059" width="6" style="7" customWidth="1"/>
    <col min="2060" max="2060" width="6.7109375" style="7" customWidth="1"/>
    <col min="2061" max="2061" width="12.85546875" style="7" customWidth="1"/>
    <col min="2062" max="2062" width="10.7109375" style="7" customWidth="1"/>
    <col min="2063" max="2063" width="9.140625" style="7"/>
    <col min="2064" max="2064" width="6.5703125" style="7" customWidth="1"/>
    <col min="2065" max="2065" width="7.5703125" style="7" customWidth="1"/>
    <col min="2066" max="2066" width="1.42578125" style="7" customWidth="1"/>
    <col min="2067" max="2067" width="5.28515625" style="7" customWidth="1"/>
    <col min="2068" max="2068" width="1" style="7" customWidth="1"/>
    <col min="2069" max="2069" width="2.140625" style="7" customWidth="1"/>
    <col min="2070" max="2070" width="1.42578125" style="7" customWidth="1"/>
    <col min="2071" max="2071" width="4" style="7" customWidth="1"/>
    <col min="2072" max="2072" width="10.140625" style="7" customWidth="1"/>
    <col min="2073" max="2073" width="6" style="7" customWidth="1"/>
    <col min="2074" max="2074" width="6.7109375" style="7" customWidth="1"/>
    <col min="2075" max="2075" width="11.42578125" style="7" customWidth="1"/>
    <col min="2076" max="2076" width="10.7109375" style="7" customWidth="1"/>
    <col min="2077" max="2093" width="4.85546875" style="7" customWidth="1"/>
    <col min="2094" max="2305" width="9.140625" style="7"/>
    <col min="2306" max="2306" width="6.5703125" style="7" customWidth="1"/>
    <col min="2307" max="2307" width="5.7109375" style="7" customWidth="1"/>
    <col min="2308" max="2308" width="1.42578125" style="7" customWidth="1"/>
    <col min="2309" max="2309" width="5.28515625" style="7" customWidth="1"/>
    <col min="2310" max="2310" width="1" style="7" customWidth="1"/>
    <col min="2311" max="2311" width="2.140625" style="7" customWidth="1"/>
    <col min="2312" max="2312" width="1.42578125" style="7" customWidth="1"/>
    <col min="2313" max="2313" width="4" style="7" customWidth="1"/>
    <col min="2314" max="2314" width="10.140625" style="7" customWidth="1"/>
    <col min="2315" max="2315" width="6" style="7" customWidth="1"/>
    <col min="2316" max="2316" width="6.7109375" style="7" customWidth="1"/>
    <col min="2317" max="2317" width="12.85546875" style="7" customWidth="1"/>
    <col min="2318" max="2318" width="10.7109375" style="7" customWidth="1"/>
    <col min="2319" max="2319" width="9.140625" style="7"/>
    <col min="2320" max="2320" width="6.5703125" style="7" customWidth="1"/>
    <col min="2321" max="2321" width="7.5703125" style="7" customWidth="1"/>
    <col min="2322" max="2322" width="1.42578125" style="7" customWidth="1"/>
    <col min="2323" max="2323" width="5.28515625" style="7" customWidth="1"/>
    <col min="2324" max="2324" width="1" style="7" customWidth="1"/>
    <col min="2325" max="2325" width="2.140625" style="7" customWidth="1"/>
    <col min="2326" max="2326" width="1.42578125" style="7" customWidth="1"/>
    <col min="2327" max="2327" width="4" style="7" customWidth="1"/>
    <col min="2328" max="2328" width="10.140625" style="7" customWidth="1"/>
    <col min="2329" max="2329" width="6" style="7" customWidth="1"/>
    <col min="2330" max="2330" width="6.7109375" style="7" customWidth="1"/>
    <col min="2331" max="2331" width="11.42578125" style="7" customWidth="1"/>
    <col min="2332" max="2332" width="10.7109375" style="7" customWidth="1"/>
    <col min="2333" max="2349" width="4.85546875" style="7" customWidth="1"/>
    <col min="2350" max="2561" width="9.140625" style="7"/>
    <col min="2562" max="2562" width="6.5703125" style="7" customWidth="1"/>
    <col min="2563" max="2563" width="5.7109375" style="7" customWidth="1"/>
    <col min="2564" max="2564" width="1.42578125" style="7" customWidth="1"/>
    <col min="2565" max="2565" width="5.28515625" style="7" customWidth="1"/>
    <col min="2566" max="2566" width="1" style="7" customWidth="1"/>
    <col min="2567" max="2567" width="2.140625" style="7" customWidth="1"/>
    <col min="2568" max="2568" width="1.42578125" style="7" customWidth="1"/>
    <col min="2569" max="2569" width="4" style="7" customWidth="1"/>
    <col min="2570" max="2570" width="10.140625" style="7" customWidth="1"/>
    <col min="2571" max="2571" width="6" style="7" customWidth="1"/>
    <col min="2572" max="2572" width="6.7109375" style="7" customWidth="1"/>
    <col min="2573" max="2573" width="12.85546875" style="7" customWidth="1"/>
    <col min="2574" max="2574" width="10.7109375" style="7" customWidth="1"/>
    <col min="2575" max="2575" width="9.140625" style="7"/>
    <col min="2576" max="2576" width="6.5703125" style="7" customWidth="1"/>
    <col min="2577" max="2577" width="7.5703125" style="7" customWidth="1"/>
    <col min="2578" max="2578" width="1.42578125" style="7" customWidth="1"/>
    <col min="2579" max="2579" width="5.28515625" style="7" customWidth="1"/>
    <col min="2580" max="2580" width="1" style="7" customWidth="1"/>
    <col min="2581" max="2581" width="2.140625" style="7" customWidth="1"/>
    <col min="2582" max="2582" width="1.42578125" style="7" customWidth="1"/>
    <col min="2583" max="2583" width="4" style="7" customWidth="1"/>
    <col min="2584" max="2584" width="10.140625" style="7" customWidth="1"/>
    <col min="2585" max="2585" width="6" style="7" customWidth="1"/>
    <col min="2586" max="2586" width="6.7109375" style="7" customWidth="1"/>
    <col min="2587" max="2587" width="11.42578125" style="7" customWidth="1"/>
    <col min="2588" max="2588" width="10.7109375" style="7" customWidth="1"/>
    <col min="2589" max="2605" width="4.85546875" style="7" customWidth="1"/>
    <col min="2606" max="2817" width="9.140625" style="7"/>
    <col min="2818" max="2818" width="6.5703125" style="7" customWidth="1"/>
    <col min="2819" max="2819" width="5.7109375" style="7" customWidth="1"/>
    <col min="2820" max="2820" width="1.42578125" style="7" customWidth="1"/>
    <col min="2821" max="2821" width="5.28515625" style="7" customWidth="1"/>
    <col min="2822" max="2822" width="1" style="7" customWidth="1"/>
    <col min="2823" max="2823" width="2.140625" style="7" customWidth="1"/>
    <col min="2824" max="2824" width="1.42578125" style="7" customWidth="1"/>
    <col min="2825" max="2825" width="4" style="7" customWidth="1"/>
    <col min="2826" max="2826" width="10.140625" style="7" customWidth="1"/>
    <col min="2827" max="2827" width="6" style="7" customWidth="1"/>
    <col min="2828" max="2828" width="6.7109375" style="7" customWidth="1"/>
    <col min="2829" max="2829" width="12.85546875" style="7" customWidth="1"/>
    <col min="2830" max="2830" width="10.7109375" style="7" customWidth="1"/>
    <col min="2831" max="2831" width="9.140625" style="7"/>
    <col min="2832" max="2832" width="6.5703125" style="7" customWidth="1"/>
    <col min="2833" max="2833" width="7.5703125" style="7" customWidth="1"/>
    <col min="2834" max="2834" width="1.42578125" style="7" customWidth="1"/>
    <col min="2835" max="2835" width="5.28515625" style="7" customWidth="1"/>
    <col min="2836" max="2836" width="1" style="7" customWidth="1"/>
    <col min="2837" max="2837" width="2.140625" style="7" customWidth="1"/>
    <col min="2838" max="2838" width="1.42578125" style="7" customWidth="1"/>
    <col min="2839" max="2839" width="4" style="7" customWidth="1"/>
    <col min="2840" max="2840" width="10.140625" style="7" customWidth="1"/>
    <col min="2841" max="2841" width="6" style="7" customWidth="1"/>
    <col min="2842" max="2842" width="6.7109375" style="7" customWidth="1"/>
    <col min="2843" max="2843" width="11.42578125" style="7" customWidth="1"/>
    <col min="2844" max="2844" width="10.7109375" style="7" customWidth="1"/>
    <col min="2845" max="2861" width="4.85546875" style="7" customWidth="1"/>
    <col min="2862" max="3073" width="9.140625" style="7"/>
    <col min="3074" max="3074" width="6.5703125" style="7" customWidth="1"/>
    <col min="3075" max="3075" width="5.7109375" style="7" customWidth="1"/>
    <col min="3076" max="3076" width="1.42578125" style="7" customWidth="1"/>
    <col min="3077" max="3077" width="5.28515625" style="7" customWidth="1"/>
    <col min="3078" max="3078" width="1" style="7" customWidth="1"/>
    <col min="3079" max="3079" width="2.140625" style="7" customWidth="1"/>
    <col min="3080" max="3080" width="1.42578125" style="7" customWidth="1"/>
    <col min="3081" max="3081" width="4" style="7" customWidth="1"/>
    <col min="3082" max="3082" width="10.140625" style="7" customWidth="1"/>
    <col min="3083" max="3083" width="6" style="7" customWidth="1"/>
    <col min="3084" max="3084" width="6.7109375" style="7" customWidth="1"/>
    <col min="3085" max="3085" width="12.85546875" style="7" customWidth="1"/>
    <col min="3086" max="3086" width="10.7109375" style="7" customWidth="1"/>
    <col min="3087" max="3087" width="9.140625" style="7"/>
    <col min="3088" max="3088" width="6.5703125" style="7" customWidth="1"/>
    <col min="3089" max="3089" width="7.5703125" style="7" customWidth="1"/>
    <col min="3090" max="3090" width="1.42578125" style="7" customWidth="1"/>
    <col min="3091" max="3091" width="5.28515625" style="7" customWidth="1"/>
    <col min="3092" max="3092" width="1" style="7" customWidth="1"/>
    <col min="3093" max="3093" width="2.140625" style="7" customWidth="1"/>
    <col min="3094" max="3094" width="1.42578125" style="7" customWidth="1"/>
    <col min="3095" max="3095" width="4" style="7" customWidth="1"/>
    <col min="3096" max="3096" width="10.140625" style="7" customWidth="1"/>
    <col min="3097" max="3097" width="6" style="7" customWidth="1"/>
    <col min="3098" max="3098" width="6.7109375" style="7" customWidth="1"/>
    <col min="3099" max="3099" width="11.42578125" style="7" customWidth="1"/>
    <col min="3100" max="3100" width="10.7109375" style="7" customWidth="1"/>
    <col min="3101" max="3117" width="4.85546875" style="7" customWidth="1"/>
    <col min="3118" max="3329" width="9.140625" style="7"/>
    <col min="3330" max="3330" width="6.5703125" style="7" customWidth="1"/>
    <col min="3331" max="3331" width="5.7109375" style="7" customWidth="1"/>
    <col min="3332" max="3332" width="1.42578125" style="7" customWidth="1"/>
    <col min="3333" max="3333" width="5.28515625" style="7" customWidth="1"/>
    <col min="3334" max="3334" width="1" style="7" customWidth="1"/>
    <col min="3335" max="3335" width="2.140625" style="7" customWidth="1"/>
    <col min="3336" max="3336" width="1.42578125" style="7" customWidth="1"/>
    <col min="3337" max="3337" width="4" style="7" customWidth="1"/>
    <col min="3338" max="3338" width="10.140625" style="7" customWidth="1"/>
    <col min="3339" max="3339" width="6" style="7" customWidth="1"/>
    <col min="3340" max="3340" width="6.7109375" style="7" customWidth="1"/>
    <col min="3341" max="3341" width="12.85546875" style="7" customWidth="1"/>
    <col min="3342" max="3342" width="10.7109375" style="7" customWidth="1"/>
    <col min="3343" max="3343" width="9.140625" style="7"/>
    <col min="3344" max="3344" width="6.5703125" style="7" customWidth="1"/>
    <col min="3345" max="3345" width="7.5703125" style="7" customWidth="1"/>
    <col min="3346" max="3346" width="1.42578125" style="7" customWidth="1"/>
    <col min="3347" max="3347" width="5.28515625" style="7" customWidth="1"/>
    <col min="3348" max="3348" width="1" style="7" customWidth="1"/>
    <col min="3349" max="3349" width="2.140625" style="7" customWidth="1"/>
    <col min="3350" max="3350" width="1.42578125" style="7" customWidth="1"/>
    <col min="3351" max="3351" width="4" style="7" customWidth="1"/>
    <col min="3352" max="3352" width="10.140625" style="7" customWidth="1"/>
    <col min="3353" max="3353" width="6" style="7" customWidth="1"/>
    <col min="3354" max="3354" width="6.7109375" style="7" customWidth="1"/>
    <col min="3355" max="3355" width="11.42578125" style="7" customWidth="1"/>
    <col min="3356" max="3356" width="10.7109375" style="7" customWidth="1"/>
    <col min="3357" max="3373" width="4.85546875" style="7" customWidth="1"/>
    <col min="3374" max="3585" width="9.140625" style="7"/>
    <col min="3586" max="3586" width="6.5703125" style="7" customWidth="1"/>
    <col min="3587" max="3587" width="5.7109375" style="7" customWidth="1"/>
    <col min="3588" max="3588" width="1.42578125" style="7" customWidth="1"/>
    <col min="3589" max="3589" width="5.28515625" style="7" customWidth="1"/>
    <col min="3590" max="3590" width="1" style="7" customWidth="1"/>
    <col min="3591" max="3591" width="2.140625" style="7" customWidth="1"/>
    <col min="3592" max="3592" width="1.42578125" style="7" customWidth="1"/>
    <col min="3593" max="3593" width="4" style="7" customWidth="1"/>
    <col min="3594" max="3594" width="10.140625" style="7" customWidth="1"/>
    <col min="3595" max="3595" width="6" style="7" customWidth="1"/>
    <col min="3596" max="3596" width="6.7109375" style="7" customWidth="1"/>
    <col min="3597" max="3597" width="12.85546875" style="7" customWidth="1"/>
    <col min="3598" max="3598" width="10.7109375" style="7" customWidth="1"/>
    <col min="3599" max="3599" width="9.140625" style="7"/>
    <col min="3600" max="3600" width="6.5703125" style="7" customWidth="1"/>
    <col min="3601" max="3601" width="7.5703125" style="7" customWidth="1"/>
    <col min="3602" max="3602" width="1.42578125" style="7" customWidth="1"/>
    <col min="3603" max="3603" width="5.28515625" style="7" customWidth="1"/>
    <col min="3604" max="3604" width="1" style="7" customWidth="1"/>
    <col min="3605" max="3605" width="2.140625" style="7" customWidth="1"/>
    <col min="3606" max="3606" width="1.42578125" style="7" customWidth="1"/>
    <col min="3607" max="3607" width="4" style="7" customWidth="1"/>
    <col min="3608" max="3608" width="10.140625" style="7" customWidth="1"/>
    <col min="3609" max="3609" width="6" style="7" customWidth="1"/>
    <col min="3610" max="3610" width="6.7109375" style="7" customWidth="1"/>
    <col min="3611" max="3611" width="11.42578125" style="7" customWidth="1"/>
    <col min="3612" max="3612" width="10.7109375" style="7" customWidth="1"/>
    <col min="3613" max="3629" width="4.85546875" style="7" customWidth="1"/>
    <col min="3630" max="3841" width="9.140625" style="7"/>
    <col min="3842" max="3842" width="6.5703125" style="7" customWidth="1"/>
    <col min="3843" max="3843" width="5.7109375" style="7" customWidth="1"/>
    <col min="3844" max="3844" width="1.42578125" style="7" customWidth="1"/>
    <col min="3845" max="3845" width="5.28515625" style="7" customWidth="1"/>
    <col min="3846" max="3846" width="1" style="7" customWidth="1"/>
    <col min="3847" max="3847" width="2.140625" style="7" customWidth="1"/>
    <col min="3848" max="3848" width="1.42578125" style="7" customWidth="1"/>
    <col min="3849" max="3849" width="4" style="7" customWidth="1"/>
    <col min="3850" max="3850" width="10.140625" style="7" customWidth="1"/>
    <col min="3851" max="3851" width="6" style="7" customWidth="1"/>
    <col min="3852" max="3852" width="6.7109375" style="7" customWidth="1"/>
    <col min="3853" max="3853" width="12.85546875" style="7" customWidth="1"/>
    <col min="3854" max="3854" width="10.7109375" style="7" customWidth="1"/>
    <col min="3855" max="3855" width="9.140625" style="7"/>
    <col min="3856" max="3856" width="6.5703125" style="7" customWidth="1"/>
    <col min="3857" max="3857" width="7.5703125" style="7" customWidth="1"/>
    <col min="3858" max="3858" width="1.42578125" style="7" customWidth="1"/>
    <col min="3859" max="3859" width="5.28515625" style="7" customWidth="1"/>
    <col min="3860" max="3860" width="1" style="7" customWidth="1"/>
    <col min="3861" max="3861" width="2.140625" style="7" customWidth="1"/>
    <col min="3862" max="3862" width="1.42578125" style="7" customWidth="1"/>
    <col min="3863" max="3863" width="4" style="7" customWidth="1"/>
    <col min="3864" max="3864" width="10.140625" style="7" customWidth="1"/>
    <col min="3865" max="3865" width="6" style="7" customWidth="1"/>
    <col min="3866" max="3866" width="6.7109375" style="7" customWidth="1"/>
    <col min="3867" max="3867" width="11.42578125" style="7" customWidth="1"/>
    <col min="3868" max="3868" width="10.7109375" style="7" customWidth="1"/>
    <col min="3869" max="3885" width="4.85546875" style="7" customWidth="1"/>
    <col min="3886" max="4097" width="9.140625" style="7"/>
    <col min="4098" max="4098" width="6.5703125" style="7" customWidth="1"/>
    <col min="4099" max="4099" width="5.7109375" style="7" customWidth="1"/>
    <col min="4100" max="4100" width="1.42578125" style="7" customWidth="1"/>
    <col min="4101" max="4101" width="5.28515625" style="7" customWidth="1"/>
    <col min="4102" max="4102" width="1" style="7" customWidth="1"/>
    <col min="4103" max="4103" width="2.140625" style="7" customWidth="1"/>
    <col min="4104" max="4104" width="1.42578125" style="7" customWidth="1"/>
    <col min="4105" max="4105" width="4" style="7" customWidth="1"/>
    <col min="4106" max="4106" width="10.140625" style="7" customWidth="1"/>
    <col min="4107" max="4107" width="6" style="7" customWidth="1"/>
    <col min="4108" max="4108" width="6.7109375" style="7" customWidth="1"/>
    <col min="4109" max="4109" width="12.85546875" style="7" customWidth="1"/>
    <col min="4110" max="4110" width="10.7109375" style="7" customWidth="1"/>
    <col min="4111" max="4111" width="9.140625" style="7"/>
    <col min="4112" max="4112" width="6.5703125" style="7" customWidth="1"/>
    <col min="4113" max="4113" width="7.5703125" style="7" customWidth="1"/>
    <col min="4114" max="4114" width="1.42578125" style="7" customWidth="1"/>
    <col min="4115" max="4115" width="5.28515625" style="7" customWidth="1"/>
    <col min="4116" max="4116" width="1" style="7" customWidth="1"/>
    <col min="4117" max="4117" width="2.140625" style="7" customWidth="1"/>
    <col min="4118" max="4118" width="1.42578125" style="7" customWidth="1"/>
    <col min="4119" max="4119" width="4" style="7" customWidth="1"/>
    <col min="4120" max="4120" width="10.140625" style="7" customWidth="1"/>
    <col min="4121" max="4121" width="6" style="7" customWidth="1"/>
    <col min="4122" max="4122" width="6.7109375" style="7" customWidth="1"/>
    <col min="4123" max="4123" width="11.42578125" style="7" customWidth="1"/>
    <col min="4124" max="4124" width="10.7109375" style="7" customWidth="1"/>
    <col min="4125" max="4141" width="4.85546875" style="7" customWidth="1"/>
    <col min="4142" max="4353" width="9.140625" style="7"/>
    <col min="4354" max="4354" width="6.5703125" style="7" customWidth="1"/>
    <col min="4355" max="4355" width="5.7109375" style="7" customWidth="1"/>
    <col min="4356" max="4356" width="1.42578125" style="7" customWidth="1"/>
    <col min="4357" max="4357" width="5.28515625" style="7" customWidth="1"/>
    <col min="4358" max="4358" width="1" style="7" customWidth="1"/>
    <col min="4359" max="4359" width="2.140625" style="7" customWidth="1"/>
    <col min="4360" max="4360" width="1.42578125" style="7" customWidth="1"/>
    <col min="4361" max="4361" width="4" style="7" customWidth="1"/>
    <col min="4362" max="4362" width="10.140625" style="7" customWidth="1"/>
    <col min="4363" max="4363" width="6" style="7" customWidth="1"/>
    <col min="4364" max="4364" width="6.7109375" style="7" customWidth="1"/>
    <col min="4365" max="4365" width="12.85546875" style="7" customWidth="1"/>
    <col min="4366" max="4366" width="10.7109375" style="7" customWidth="1"/>
    <col min="4367" max="4367" width="9.140625" style="7"/>
    <col min="4368" max="4368" width="6.5703125" style="7" customWidth="1"/>
    <col min="4369" max="4369" width="7.5703125" style="7" customWidth="1"/>
    <col min="4370" max="4370" width="1.42578125" style="7" customWidth="1"/>
    <col min="4371" max="4371" width="5.28515625" style="7" customWidth="1"/>
    <col min="4372" max="4372" width="1" style="7" customWidth="1"/>
    <col min="4373" max="4373" width="2.140625" style="7" customWidth="1"/>
    <col min="4374" max="4374" width="1.42578125" style="7" customWidth="1"/>
    <col min="4375" max="4375" width="4" style="7" customWidth="1"/>
    <col min="4376" max="4376" width="10.140625" style="7" customWidth="1"/>
    <col min="4377" max="4377" width="6" style="7" customWidth="1"/>
    <col min="4378" max="4378" width="6.7109375" style="7" customWidth="1"/>
    <col min="4379" max="4379" width="11.42578125" style="7" customWidth="1"/>
    <col min="4380" max="4380" width="10.7109375" style="7" customWidth="1"/>
    <col min="4381" max="4397" width="4.85546875" style="7" customWidth="1"/>
    <col min="4398" max="4609" width="9.140625" style="7"/>
    <col min="4610" max="4610" width="6.5703125" style="7" customWidth="1"/>
    <col min="4611" max="4611" width="5.7109375" style="7" customWidth="1"/>
    <col min="4612" max="4612" width="1.42578125" style="7" customWidth="1"/>
    <col min="4613" max="4613" width="5.28515625" style="7" customWidth="1"/>
    <col min="4614" max="4614" width="1" style="7" customWidth="1"/>
    <col min="4615" max="4615" width="2.140625" style="7" customWidth="1"/>
    <col min="4616" max="4616" width="1.42578125" style="7" customWidth="1"/>
    <col min="4617" max="4617" width="4" style="7" customWidth="1"/>
    <col min="4618" max="4618" width="10.140625" style="7" customWidth="1"/>
    <col min="4619" max="4619" width="6" style="7" customWidth="1"/>
    <col min="4620" max="4620" width="6.7109375" style="7" customWidth="1"/>
    <col min="4621" max="4621" width="12.85546875" style="7" customWidth="1"/>
    <col min="4622" max="4622" width="10.7109375" style="7" customWidth="1"/>
    <col min="4623" max="4623" width="9.140625" style="7"/>
    <col min="4624" max="4624" width="6.5703125" style="7" customWidth="1"/>
    <col min="4625" max="4625" width="7.5703125" style="7" customWidth="1"/>
    <col min="4626" max="4626" width="1.42578125" style="7" customWidth="1"/>
    <col min="4627" max="4627" width="5.28515625" style="7" customWidth="1"/>
    <col min="4628" max="4628" width="1" style="7" customWidth="1"/>
    <col min="4629" max="4629" width="2.140625" style="7" customWidth="1"/>
    <col min="4630" max="4630" width="1.42578125" style="7" customWidth="1"/>
    <col min="4631" max="4631" width="4" style="7" customWidth="1"/>
    <col min="4632" max="4632" width="10.140625" style="7" customWidth="1"/>
    <col min="4633" max="4633" width="6" style="7" customWidth="1"/>
    <col min="4634" max="4634" width="6.7109375" style="7" customWidth="1"/>
    <col min="4635" max="4635" width="11.42578125" style="7" customWidth="1"/>
    <col min="4636" max="4636" width="10.7109375" style="7" customWidth="1"/>
    <col min="4637" max="4653" width="4.85546875" style="7" customWidth="1"/>
    <col min="4654" max="4865" width="9.140625" style="7"/>
    <col min="4866" max="4866" width="6.5703125" style="7" customWidth="1"/>
    <col min="4867" max="4867" width="5.7109375" style="7" customWidth="1"/>
    <col min="4868" max="4868" width="1.42578125" style="7" customWidth="1"/>
    <col min="4869" max="4869" width="5.28515625" style="7" customWidth="1"/>
    <col min="4870" max="4870" width="1" style="7" customWidth="1"/>
    <col min="4871" max="4871" width="2.140625" style="7" customWidth="1"/>
    <col min="4872" max="4872" width="1.42578125" style="7" customWidth="1"/>
    <col min="4873" max="4873" width="4" style="7" customWidth="1"/>
    <col min="4874" max="4874" width="10.140625" style="7" customWidth="1"/>
    <col min="4875" max="4875" width="6" style="7" customWidth="1"/>
    <col min="4876" max="4876" width="6.7109375" style="7" customWidth="1"/>
    <col min="4877" max="4877" width="12.85546875" style="7" customWidth="1"/>
    <col min="4878" max="4878" width="10.7109375" style="7" customWidth="1"/>
    <col min="4879" max="4879" width="9.140625" style="7"/>
    <col min="4880" max="4880" width="6.5703125" style="7" customWidth="1"/>
    <col min="4881" max="4881" width="7.5703125" style="7" customWidth="1"/>
    <col min="4882" max="4882" width="1.42578125" style="7" customWidth="1"/>
    <col min="4883" max="4883" width="5.28515625" style="7" customWidth="1"/>
    <col min="4884" max="4884" width="1" style="7" customWidth="1"/>
    <col min="4885" max="4885" width="2.140625" style="7" customWidth="1"/>
    <col min="4886" max="4886" width="1.42578125" style="7" customWidth="1"/>
    <col min="4887" max="4887" width="4" style="7" customWidth="1"/>
    <col min="4888" max="4888" width="10.140625" style="7" customWidth="1"/>
    <col min="4889" max="4889" width="6" style="7" customWidth="1"/>
    <col min="4890" max="4890" width="6.7109375" style="7" customWidth="1"/>
    <col min="4891" max="4891" width="11.42578125" style="7" customWidth="1"/>
    <col min="4892" max="4892" width="10.7109375" style="7" customWidth="1"/>
    <col min="4893" max="4909" width="4.85546875" style="7" customWidth="1"/>
    <col min="4910" max="5121" width="9.140625" style="7"/>
    <col min="5122" max="5122" width="6.5703125" style="7" customWidth="1"/>
    <col min="5123" max="5123" width="5.7109375" style="7" customWidth="1"/>
    <col min="5124" max="5124" width="1.42578125" style="7" customWidth="1"/>
    <col min="5125" max="5125" width="5.28515625" style="7" customWidth="1"/>
    <col min="5126" max="5126" width="1" style="7" customWidth="1"/>
    <col min="5127" max="5127" width="2.140625" style="7" customWidth="1"/>
    <col min="5128" max="5128" width="1.42578125" style="7" customWidth="1"/>
    <col min="5129" max="5129" width="4" style="7" customWidth="1"/>
    <col min="5130" max="5130" width="10.140625" style="7" customWidth="1"/>
    <col min="5131" max="5131" width="6" style="7" customWidth="1"/>
    <col min="5132" max="5132" width="6.7109375" style="7" customWidth="1"/>
    <col min="5133" max="5133" width="12.85546875" style="7" customWidth="1"/>
    <col min="5134" max="5134" width="10.7109375" style="7" customWidth="1"/>
    <col min="5135" max="5135" width="9.140625" style="7"/>
    <col min="5136" max="5136" width="6.5703125" style="7" customWidth="1"/>
    <col min="5137" max="5137" width="7.5703125" style="7" customWidth="1"/>
    <col min="5138" max="5138" width="1.42578125" style="7" customWidth="1"/>
    <col min="5139" max="5139" width="5.28515625" style="7" customWidth="1"/>
    <col min="5140" max="5140" width="1" style="7" customWidth="1"/>
    <col min="5141" max="5141" width="2.140625" style="7" customWidth="1"/>
    <col min="5142" max="5142" width="1.42578125" style="7" customWidth="1"/>
    <col min="5143" max="5143" width="4" style="7" customWidth="1"/>
    <col min="5144" max="5144" width="10.140625" style="7" customWidth="1"/>
    <col min="5145" max="5145" width="6" style="7" customWidth="1"/>
    <col min="5146" max="5146" width="6.7109375" style="7" customWidth="1"/>
    <col min="5147" max="5147" width="11.42578125" style="7" customWidth="1"/>
    <col min="5148" max="5148" width="10.7109375" style="7" customWidth="1"/>
    <col min="5149" max="5165" width="4.85546875" style="7" customWidth="1"/>
    <col min="5166" max="5377" width="9.140625" style="7"/>
    <col min="5378" max="5378" width="6.5703125" style="7" customWidth="1"/>
    <col min="5379" max="5379" width="5.7109375" style="7" customWidth="1"/>
    <col min="5380" max="5380" width="1.42578125" style="7" customWidth="1"/>
    <col min="5381" max="5381" width="5.28515625" style="7" customWidth="1"/>
    <col min="5382" max="5382" width="1" style="7" customWidth="1"/>
    <col min="5383" max="5383" width="2.140625" style="7" customWidth="1"/>
    <col min="5384" max="5384" width="1.42578125" style="7" customWidth="1"/>
    <col min="5385" max="5385" width="4" style="7" customWidth="1"/>
    <col min="5386" max="5386" width="10.140625" style="7" customWidth="1"/>
    <col min="5387" max="5387" width="6" style="7" customWidth="1"/>
    <col min="5388" max="5388" width="6.7109375" style="7" customWidth="1"/>
    <col min="5389" max="5389" width="12.85546875" style="7" customWidth="1"/>
    <col min="5390" max="5390" width="10.7109375" style="7" customWidth="1"/>
    <col min="5391" max="5391" width="9.140625" style="7"/>
    <col min="5392" max="5392" width="6.5703125" style="7" customWidth="1"/>
    <col min="5393" max="5393" width="7.5703125" style="7" customWidth="1"/>
    <col min="5394" max="5394" width="1.42578125" style="7" customWidth="1"/>
    <col min="5395" max="5395" width="5.28515625" style="7" customWidth="1"/>
    <col min="5396" max="5396" width="1" style="7" customWidth="1"/>
    <col min="5397" max="5397" width="2.140625" style="7" customWidth="1"/>
    <col min="5398" max="5398" width="1.42578125" style="7" customWidth="1"/>
    <col min="5399" max="5399" width="4" style="7" customWidth="1"/>
    <col min="5400" max="5400" width="10.140625" style="7" customWidth="1"/>
    <col min="5401" max="5401" width="6" style="7" customWidth="1"/>
    <col min="5402" max="5402" width="6.7109375" style="7" customWidth="1"/>
    <col min="5403" max="5403" width="11.42578125" style="7" customWidth="1"/>
    <col min="5404" max="5404" width="10.7109375" style="7" customWidth="1"/>
    <col min="5405" max="5421" width="4.85546875" style="7" customWidth="1"/>
    <col min="5422" max="5633" width="9.140625" style="7"/>
    <col min="5634" max="5634" width="6.5703125" style="7" customWidth="1"/>
    <col min="5635" max="5635" width="5.7109375" style="7" customWidth="1"/>
    <col min="5636" max="5636" width="1.42578125" style="7" customWidth="1"/>
    <col min="5637" max="5637" width="5.28515625" style="7" customWidth="1"/>
    <col min="5638" max="5638" width="1" style="7" customWidth="1"/>
    <col min="5639" max="5639" width="2.140625" style="7" customWidth="1"/>
    <col min="5640" max="5640" width="1.42578125" style="7" customWidth="1"/>
    <col min="5641" max="5641" width="4" style="7" customWidth="1"/>
    <col min="5642" max="5642" width="10.140625" style="7" customWidth="1"/>
    <col min="5643" max="5643" width="6" style="7" customWidth="1"/>
    <col min="5644" max="5644" width="6.7109375" style="7" customWidth="1"/>
    <col min="5645" max="5645" width="12.85546875" style="7" customWidth="1"/>
    <col min="5646" max="5646" width="10.7109375" style="7" customWidth="1"/>
    <col min="5647" max="5647" width="9.140625" style="7"/>
    <col min="5648" max="5648" width="6.5703125" style="7" customWidth="1"/>
    <col min="5649" max="5649" width="7.5703125" style="7" customWidth="1"/>
    <col min="5650" max="5650" width="1.42578125" style="7" customWidth="1"/>
    <col min="5651" max="5651" width="5.28515625" style="7" customWidth="1"/>
    <col min="5652" max="5652" width="1" style="7" customWidth="1"/>
    <col min="5653" max="5653" width="2.140625" style="7" customWidth="1"/>
    <col min="5654" max="5654" width="1.42578125" style="7" customWidth="1"/>
    <col min="5655" max="5655" width="4" style="7" customWidth="1"/>
    <col min="5656" max="5656" width="10.140625" style="7" customWidth="1"/>
    <col min="5657" max="5657" width="6" style="7" customWidth="1"/>
    <col min="5658" max="5658" width="6.7109375" style="7" customWidth="1"/>
    <col min="5659" max="5659" width="11.42578125" style="7" customWidth="1"/>
    <col min="5660" max="5660" width="10.7109375" style="7" customWidth="1"/>
    <col min="5661" max="5677" width="4.85546875" style="7" customWidth="1"/>
    <col min="5678" max="5889" width="9.140625" style="7"/>
    <col min="5890" max="5890" width="6.5703125" style="7" customWidth="1"/>
    <col min="5891" max="5891" width="5.7109375" style="7" customWidth="1"/>
    <col min="5892" max="5892" width="1.42578125" style="7" customWidth="1"/>
    <col min="5893" max="5893" width="5.28515625" style="7" customWidth="1"/>
    <col min="5894" max="5894" width="1" style="7" customWidth="1"/>
    <col min="5895" max="5895" width="2.140625" style="7" customWidth="1"/>
    <col min="5896" max="5896" width="1.42578125" style="7" customWidth="1"/>
    <col min="5897" max="5897" width="4" style="7" customWidth="1"/>
    <col min="5898" max="5898" width="10.140625" style="7" customWidth="1"/>
    <col min="5899" max="5899" width="6" style="7" customWidth="1"/>
    <col min="5900" max="5900" width="6.7109375" style="7" customWidth="1"/>
    <col min="5901" max="5901" width="12.85546875" style="7" customWidth="1"/>
    <col min="5902" max="5902" width="10.7109375" style="7" customWidth="1"/>
    <col min="5903" max="5903" width="9.140625" style="7"/>
    <col min="5904" max="5904" width="6.5703125" style="7" customWidth="1"/>
    <col min="5905" max="5905" width="7.5703125" style="7" customWidth="1"/>
    <col min="5906" max="5906" width="1.42578125" style="7" customWidth="1"/>
    <col min="5907" max="5907" width="5.28515625" style="7" customWidth="1"/>
    <col min="5908" max="5908" width="1" style="7" customWidth="1"/>
    <col min="5909" max="5909" width="2.140625" style="7" customWidth="1"/>
    <col min="5910" max="5910" width="1.42578125" style="7" customWidth="1"/>
    <col min="5911" max="5911" width="4" style="7" customWidth="1"/>
    <col min="5912" max="5912" width="10.140625" style="7" customWidth="1"/>
    <col min="5913" max="5913" width="6" style="7" customWidth="1"/>
    <col min="5914" max="5914" width="6.7109375" style="7" customWidth="1"/>
    <col min="5915" max="5915" width="11.42578125" style="7" customWidth="1"/>
    <col min="5916" max="5916" width="10.7109375" style="7" customWidth="1"/>
    <col min="5917" max="5933" width="4.85546875" style="7" customWidth="1"/>
    <col min="5934" max="6145" width="9.140625" style="7"/>
    <col min="6146" max="6146" width="6.5703125" style="7" customWidth="1"/>
    <col min="6147" max="6147" width="5.7109375" style="7" customWidth="1"/>
    <col min="6148" max="6148" width="1.42578125" style="7" customWidth="1"/>
    <col min="6149" max="6149" width="5.28515625" style="7" customWidth="1"/>
    <col min="6150" max="6150" width="1" style="7" customWidth="1"/>
    <col min="6151" max="6151" width="2.140625" style="7" customWidth="1"/>
    <col min="6152" max="6152" width="1.42578125" style="7" customWidth="1"/>
    <col min="6153" max="6153" width="4" style="7" customWidth="1"/>
    <col min="6154" max="6154" width="10.140625" style="7" customWidth="1"/>
    <col min="6155" max="6155" width="6" style="7" customWidth="1"/>
    <col min="6156" max="6156" width="6.7109375" style="7" customWidth="1"/>
    <col min="6157" max="6157" width="12.85546875" style="7" customWidth="1"/>
    <col min="6158" max="6158" width="10.7109375" style="7" customWidth="1"/>
    <col min="6159" max="6159" width="9.140625" style="7"/>
    <col min="6160" max="6160" width="6.5703125" style="7" customWidth="1"/>
    <col min="6161" max="6161" width="7.5703125" style="7" customWidth="1"/>
    <col min="6162" max="6162" width="1.42578125" style="7" customWidth="1"/>
    <col min="6163" max="6163" width="5.28515625" style="7" customWidth="1"/>
    <col min="6164" max="6164" width="1" style="7" customWidth="1"/>
    <col min="6165" max="6165" width="2.140625" style="7" customWidth="1"/>
    <col min="6166" max="6166" width="1.42578125" style="7" customWidth="1"/>
    <col min="6167" max="6167" width="4" style="7" customWidth="1"/>
    <col min="6168" max="6168" width="10.140625" style="7" customWidth="1"/>
    <col min="6169" max="6169" width="6" style="7" customWidth="1"/>
    <col min="6170" max="6170" width="6.7109375" style="7" customWidth="1"/>
    <col min="6171" max="6171" width="11.42578125" style="7" customWidth="1"/>
    <col min="6172" max="6172" width="10.7109375" style="7" customWidth="1"/>
    <col min="6173" max="6189" width="4.85546875" style="7" customWidth="1"/>
    <col min="6190" max="6401" width="9.140625" style="7"/>
    <col min="6402" max="6402" width="6.5703125" style="7" customWidth="1"/>
    <col min="6403" max="6403" width="5.7109375" style="7" customWidth="1"/>
    <col min="6404" max="6404" width="1.42578125" style="7" customWidth="1"/>
    <col min="6405" max="6405" width="5.28515625" style="7" customWidth="1"/>
    <col min="6406" max="6406" width="1" style="7" customWidth="1"/>
    <col min="6407" max="6407" width="2.140625" style="7" customWidth="1"/>
    <col min="6408" max="6408" width="1.42578125" style="7" customWidth="1"/>
    <col min="6409" max="6409" width="4" style="7" customWidth="1"/>
    <col min="6410" max="6410" width="10.140625" style="7" customWidth="1"/>
    <col min="6411" max="6411" width="6" style="7" customWidth="1"/>
    <col min="6412" max="6412" width="6.7109375" style="7" customWidth="1"/>
    <col min="6413" max="6413" width="12.85546875" style="7" customWidth="1"/>
    <col min="6414" max="6414" width="10.7109375" style="7" customWidth="1"/>
    <col min="6415" max="6415" width="9.140625" style="7"/>
    <col min="6416" max="6416" width="6.5703125" style="7" customWidth="1"/>
    <col min="6417" max="6417" width="7.5703125" style="7" customWidth="1"/>
    <col min="6418" max="6418" width="1.42578125" style="7" customWidth="1"/>
    <col min="6419" max="6419" width="5.28515625" style="7" customWidth="1"/>
    <col min="6420" max="6420" width="1" style="7" customWidth="1"/>
    <col min="6421" max="6421" width="2.140625" style="7" customWidth="1"/>
    <col min="6422" max="6422" width="1.42578125" style="7" customWidth="1"/>
    <col min="6423" max="6423" width="4" style="7" customWidth="1"/>
    <col min="6424" max="6424" width="10.140625" style="7" customWidth="1"/>
    <col min="6425" max="6425" width="6" style="7" customWidth="1"/>
    <col min="6426" max="6426" width="6.7109375" style="7" customWidth="1"/>
    <col min="6427" max="6427" width="11.42578125" style="7" customWidth="1"/>
    <col min="6428" max="6428" width="10.7109375" style="7" customWidth="1"/>
    <col min="6429" max="6445" width="4.85546875" style="7" customWidth="1"/>
    <col min="6446" max="6657" width="9.140625" style="7"/>
    <col min="6658" max="6658" width="6.5703125" style="7" customWidth="1"/>
    <col min="6659" max="6659" width="5.7109375" style="7" customWidth="1"/>
    <col min="6660" max="6660" width="1.42578125" style="7" customWidth="1"/>
    <col min="6661" max="6661" width="5.28515625" style="7" customWidth="1"/>
    <col min="6662" max="6662" width="1" style="7" customWidth="1"/>
    <col min="6663" max="6663" width="2.140625" style="7" customWidth="1"/>
    <col min="6664" max="6664" width="1.42578125" style="7" customWidth="1"/>
    <col min="6665" max="6665" width="4" style="7" customWidth="1"/>
    <col min="6666" max="6666" width="10.140625" style="7" customWidth="1"/>
    <col min="6667" max="6667" width="6" style="7" customWidth="1"/>
    <col min="6668" max="6668" width="6.7109375" style="7" customWidth="1"/>
    <col min="6669" max="6669" width="12.85546875" style="7" customWidth="1"/>
    <col min="6670" max="6670" width="10.7109375" style="7" customWidth="1"/>
    <col min="6671" max="6671" width="9.140625" style="7"/>
    <col min="6672" max="6672" width="6.5703125" style="7" customWidth="1"/>
    <col min="6673" max="6673" width="7.5703125" style="7" customWidth="1"/>
    <col min="6674" max="6674" width="1.42578125" style="7" customWidth="1"/>
    <col min="6675" max="6675" width="5.28515625" style="7" customWidth="1"/>
    <col min="6676" max="6676" width="1" style="7" customWidth="1"/>
    <col min="6677" max="6677" width="2.140625" style="7" customWidth="1"/>
    <col min="6678" max="6678" width="1.42578125" style="7" customWidth="1"/>
    <col min="6679" max="6679" width="4" style="7" customWidth="1"/>
    <col min="6680" max="6680" width="10.140625" style="7" customWidth="1"/>
    <col min="6681" max="6681" width="6" style="7" customWidth="1"/>
    <col min="6682" max="6682" width="6.7109375" style="7" customWidth="1"/>
    <col min="6683" max="6683" width="11.42578125" style="7" customWidth="1"/>
    <col min="6684" max="6684" width="10.7109375" style="7" customWidth="1"/>
    <col min="6685" max="6701" width="4.85546875" style="7" customWidth="1"/>
    <col min="6702" max="6913" width="9.140625" style="7"/>
    <col min="6914" max="6914" width="6.5703125" style="7" customWidth="1"/>
    <col min="6915" max="6915" width="5.7109375" style="7" customWidth="1"/>
    <col min="6916" max="6916" width="1.42578125" style="7" customWidth="1"/>
    <col min="6917" max="6917" width="5.28515625" style="7" customWidth="1"/>
    <col min="6918" max="6918" width="1" style="7" customWidth="1"/>
    <col min="6919" max="6919" width="2.140625" style="7" customWidth="1"/>
    <col min="6920" max="6920" width="1.42578125" style="7" customWidth="1"/>
    <col min="6921" max="6921" width="4" style="7" customWidth="1"/>
    <col min="6922" max="6922" width="10.140625" style="7" customWidth="1"/>
    <col min="6923" max="6923" width="6" style="7" customWidth="1"/>
    <col min="6924" max="6924" width="6.7109375" style="7" customWidth="1"/>
    <col min="6925" max="6925" width="12.85546875" style="7" customWidth="1"/>
    <col min="6926" max="6926" width="10.7109375" style="7" customWidth="1"/>
    <col min="6927" max="6927" width="9.140625" style="7"/>
    <col min="6928" max="6928" width="6.5703125" style="7" customWidth="1"/>
    <col min="6929" max="6929" width="7.5703125" style="7" customWidth="1"/>
    <col min="6930" max="6930" width="1.42578125" style="7" customWidth="1"/>
    <col min="6931" max="6931" width="5.28515625" style="7" customWidth="1"/>
    <col min="6932" max="6932" width="1" style="7" customWidth="1"/>
    <col min="6933" max="6933" width="2.140625" style="7" customWidth="1"/>
    <col min="6934" max="6934" width="1.42578125" style="7" customWidth="1"/>
    <col min="6935" max="6935" width="4" style="7" customWidth="1"/>
    <col min="6936" max="6936" width="10.140625" style="7" customWidth="1"/>
    <col min="6937" max="6937" width="6" style="7" customWidth="1"/>
    <col min="6938" max="6938" width="6.7109375" style="7" customWidth="1"/>
    <col min="6939" max="6939" width="11.42578125" style="7" customWidth="1"/>
    <col min="6940" max="6940" width="10.7109375" style="7" customWidth="1"/>
    <col min="6941" max="6957" width="4.85546875" style="7" customWidth="1"/>
    <col min="6958" max="7169" width="9.140625" style="7"/>
    <col min="7170" max="7170" width="6.5703125" style="7" customWidth="1"/>
    <col min="7171" max="7171" width="5.7109375" style="7" customWidth="1"/>
    <col min="7172" max="7172" width="1.42578125" style="7" customWidth="1"/>
    <col min="7173" max="7173" width="5.28515625" style="7" customWidth="1"/>
    <col min="7174" max="7174" width="1" style="7" customWidth="1"/>
    <col min="7175" max="7175" width="2.140625" style="7" customWidth="1"/>
    <col min="7176" max="7176" width="1.42578125" style="7" customWidth="1"/>
    <col min="7177" max="7177" width="4" style="7" customWidth="1"/>
    <col min="7178" max="7178" width="10.140625" style="7" customWidth="1"/>
    <col min="7179" max="7179" width="6" style="7" customWidth="1"/>
    <col min="7180" max="7180" width="6.7109375" style="7" customWidth="1"/>
    <col min="7181" max="7181" width="12.85546875" style="7" customWidth="1"/>
    <col min="7182" max="7182" width="10.7109375" style="7" customWidth="1"/>
    <col min="7183" max="7183" width="9.140625" style="7"/>
    <col min="7184" max="7184" width="6.5703125" style="7" customWidth="1"/>
    <col min="7185" max="7185" width="7.5703125" style="7" customWidth="1"/>
    <col min="7186" max="7186" width="1.42578125" style="7" customWidth="1"/>
    <col min="7187" max="7187" width="5.28515625" style="7" customWidth="1"/>
    <col min="7188" max="7188" width="1" style="7" customWidth="1"/>
    <col min="7189" max="7189" width="2.140625" style="7" customWidth="1"/>
    <col min="7190" max="7190" width="1.42578125" style="7" customWidth="1"/>
    <col min="7191" max="7191" width="4" style="7" customWidth="1"/>
    <col min="7192" max="7192" width="10.140625" style="7" customWidth="1"/>
    <col min="7193" max="7193" width="6" style="7" customWidth="1"/>
    <col min="7194" max="7194" width="6.7109375" style="7" customWidth="1"/>
    <col min="7195" max="7195" width="11.42578125" style="7" customWidth="1"/>
    <col min="7196" max="7196" width="10.7109375" style="7" customWidth="1"/>
    <col min="7197" max="7213" width="4.85546875" style="7" customWidth="1"/>
    <col min="7214" max="7425" width="9.140625" style="7"/>
    <col min="7426" max="7426" width="6.5703125" style="7" customWidth="1"/>
    <col min="7427" max="7427" width="5.7109375" style="7" customWidth="1"/>
    <col min="7428" max="7428" width="1.42578125" style="7" customWidth="1"/>
    <col min="7429" max="7429" width="5.28515625" style="7" customWidth="1"/>
    <col min="7430" max="7430" width="1" style="7" customWidth="1"/>
    <col min="7431" max="7431" width="2.140625" style="7" customWidth="1"/>
    <col min="7432" max="7432" width="1.42578125" style="7" customWidth="1"/>
    <col min="7433" max="7433" width="4" style="7" customWidth="1"/>
    <col min="7434" max="7434" width="10.140625" style="7" customWidth="1"/>
    <col min="7435" max="7435" width="6" style="7" customWidth="1"/>
    <col min="7436" max="7436" width="6.7109375" style="7" customWidth="1"/>
    <col min="7437" max="7437" width="12.85546875" style="7" customWidth="1"/>
    <col min="7438" max="7438" width="10.7109375" style="7" customWidth="1"/>
    <col min="7439" max="7439" width="9.140625" style="7"/>
    <col min="7440" max="7440" width="6.5703125" style="7" customWidth="1"/>
    <col min="7441" max="7441" width="7.5703125" style="7" customWidth="1"/>
    <col min="7442" max="7442" width="1.42578125" style="7" customWidth="1"/>
    <col min="7443" max="7443" width="5.28515625" style="7" customWidth="1"/>
    <col min="7444" max="7444" width="1" style="7" customWidth="1"/>
    <col min="7445" max="7445" width="2.140625" style="7" customWidth="1"/>
    <col min="7446" max="7446" width="1.42578125" style="7" customWidth="1"/>
    <col min="7447" max="7447" width="4" style="7" customWidth="1"/>
    <col min="7448" max="7448" width="10.140625" style="7" customWidth="1"/>
    <col min="7449" max="7449" width="6" style="7" customWidth="1"/>
    <col min="7450" max="7450" width="6.7109375" style="7" customWidth="1"/>
    <col min="7451" max="7451" width="11.42578125" style="7" customWidth="1"/>
    <col min="7452" max="7452" width="10.7109375" style="7" customWidth="1"/>
    <col min="7453" max="7469" width="4.85546875" style="7" customWidth="1"/>
    <col min="7470" max="7681" width="9.140625" style="7"/>
    <col min="7682" max="7682" width="6.5703125" style="7" customWidth="1"/>
    <col min="7683" max="7683" width="5.7109375" style="7" customWidth="1"/>
    <col min="7684" max="7684" width="1.42578125" style="7" customWidth="1"/>
    <col min="7685" max="7685" width="5.28515625" style="7" customWidth="1"/>
    <col min="7686" max="7686" width="1" style="7" customWidth="1"/>
    <col min="7687" max="7687" width="2.140625" style="7" customWidth="1"/>
    <col min="7688" max="7688" width="1.42578125" style="7" customWidth="1"/>
    <col min="7689" max="7689" width="4" style="7" customWidth="1"/>
    <col min="7690" max="7690" width="10.140625" style="7" customWidth="1"/>
    <col min="7691" max="7691" width="6" style="7" customWidth="1"/>
    <col min="7692" max="7692" width="6.7109375" style="7" customWidth="1"/>
    <col min="7693" max="7693" width="12.85546875" style="7" customWidth="1"/>
    <col min="7694" max="7694" width="10.7109375" style="7" customWidth="1"/>
    <col min="7695" max="7695" width="9.140625" style="7"/>
    <col min="7696" max="7696" width="6.5703125" style="7" customWidth="1"/>
    <col min="7697" max="7697" width="7.5703125" style="7" customWidth="1"/>
    <col min="7698" max="7698" width="1.42578125" style="7" customWidth="1"/>
    <col min="7699" max="7699" width="5.28515625" style="7" customWidth="1"/>
    <col min="7700" max="7700" width="1" style="7" customWidth="1"/>
    <col min="7701" max="7701" width="2.140625" style="7" customWidth="1"/>
    <col min="7702" max="7702" width="1.42578125" style="7" customWidth="1"/>
    <col min="7703" max="7703" width="4" style="7" customWidth="1"/>
    <col min="7704" max="7704" width="10.140625" style="7" customWidth="1"/>
    <col min="7705" max="7705" width="6" style="7" customWidth="1"/>
    <col min="7706" max="7706" width="6.7109375" style="7" customWidth="1"/>
    <col min="7707" max="7707" width="11.42578125" style="7" customWidth="1"/>
    <col min="7708" max="7708" width="10.7109375" style="7" customWidth="1"/>
    <col min="7709" max="7725" width="4.85546875" style="7" customWidth="1"/>
    <col min="7726" max="7937" width="9.140625" style="7"/>
    <col min="7938" max="7938" width="6.5703125" style="7" customWidth="1"/>
    <col min="7939" max="7939" width="5.7109375" style="7" customWidth="1"/>
    <col min="7940" max="7940" width="1.42578125" style="7" customWidth="1"/>
    <col min="7941" max="7941" width="5.28515625" style="7" customWidth="1"/>
    <col min="7942" max="7942" width="1" style="7" customWidth="1"/>
    <col min="7943" max="7943" width="2.140625" style="7" customWidth="1"/>
    <col min="7944" max="7944" width="1.42578125" style="7" customWidth="1"/>
    <col min="7945" max="7945" width="4" style="7" customWidth="1"/>
    <col min="7946" max="7946" width="10.140625" style="7" customWidth="1"/>
    <col min="7947" max="7947" width="6" style="7" customWidth="1"/>
    <col min="7948" max="7948" width="6.7109375" style="7" customWidth="1"/>
    <col min="7949" max="7949" width="12.85546875" style="7" customWidth="1"/>
    <col min="7950" max="7950" width="10.7109375" style="7" customWidth="1"/>
    <col min="7951" max="7951" width="9.140625" style="7"/>
    <col min="7952" max="7952" width="6.5703125" style="7" customWidth="1"/>
    <col min="7953" max="7953" width="7.5703125" style="7" customWidth="1"/>
    <col min="7954" max="7954" width="1.42578125" style="7" customWidth="1"/>
    <col min="7955" max="7955" width="5.28515625" style="7" customWidth="1"/>
    <col min="7956" max="7956" width="1" style="7" customWidth="1"/>
    <col min="7957" max="7957" width="2.140625" style="7" customWidth="1"/>
    <col min="7958" max="7958" width="1.42578125" style="7" customWidth="1"/>
    <col min="7959" max="7959" width="4" style="7" customWidth="1"/>
    <col min="7960" max="7960" width="10.140625" style="7" customWidth="1"/>
    <col min="7961" max="7961" width="6" style="7" customWidth="1"/>
    <col min="7962" max="7962" width="6.7109375" style="7" customWidth="1"/>
    <col min="7963" max="7963" width="11.42578125" style="7" customWidth="1"/>
    <col min="7964" max="7964" width="10.7109375" style="7" customWidth="1"/>
    <col min="7965" max="7981" width="4.85546875" style="7" customWidth="1"/>
    <col min="7982" max="8193" width="9.140625" style="7"/>
    <col min="8194" max="8194" width="6.5703125" style="7" customWidth="1"/>
    <col min="8195" max="8195" width="5.7109375" style="7" customWidth="1"/>
    <col min="8196" max="8196" width="1.42578125" style="7" customWidth="1"/>
    <col min="8197" max="8197" width="5.28515625" style="7" customWidth="1"/>
    <col min="8198" max="8198" width="1" style="7" customWidth="1"/>
    <col min="8199" max="8199" width="2.140625" style="7" customWidth="1"/>
    <col min="8200" max="8200" width="1.42578125" style="7" customWidth="1"/>
    <col min="8201" max="8201" width="4" style="7" customWidth="1"/>
    <col min="8202" max="8202" width="10.140625" style="7" customWidth="1"/>
    <col min="8203" max="8203" width="6" style="7" customWidth="1"/>
    <col min="8204" max="8204" width="6.7109375" style="7" customWidth="1"/>
    <col min="8205" max="8205" width="12.85546875" style="7" customWidth="1"/>
    <col min="8206" max="8206" width="10.7109375" style="7" customWidth="1"/>
    <col min="8207" max="8207" width="9.140625" style="7"/>
    <col min="8208" max="8208" width="6.5703125" style="7" customWidth="1"/>
    <col min="8209" max="8209" width="7.5703125" style="7" customWidth="1"/>
    <col min="8210" max="8210" width="1.42578125" style="7" customWidth="1"/>
    <col min="8211" max="8211" width="5.28515625" style="7" customWidth="1"/>
    <col min="8212" max="8212" width="1" style="7" customWidth="1"/>
    <col min="8213" max="8213" width="2.140625" style="7" customWidth="1"/>
    <col min="8214" max="8214" width="1.42578125" style="7" customWidth="1"/>
    <col min="8215" max="8215" width="4" style="7" customWidth="1"/>
    <col min="8216" max="8216" width="10.140625" style="7" customWidth="1"/>
    <col min="8217" max="8217" width="6" style="7" customWidth="1"/>
    <col min="8218" max="8218" width="6.7109375" style="7" customWidth="1"/>
    <col min="8219" max="8219" width="11.42578125" style="7" customWidth="1"/>
    <col min="8220" max="8220" width="10.7109375" style="7" customWidth="1"/>
    <col min="8221" max="8237" width="4.85546875" style="7" customWidth="1"/>
    <col min="8238" max="8449" width="9.140625" style="7"/>
    <col min="8450" max="8450" width="6.5703125" style="7" customWidth="1"/>
    <col min="8451" max="8451" width="5.7109375" style="7" customWidth="1"/>
    <col min="8452" max="8452" width="1.42578125" style="7" customWidth="1"/>
    <col min="8453" max="8453" width="5.28515625" style="7" customWidth="1"/>
    <col min="8454" max="8454" width="1" style="7" customWidth="1"/>
    <col min="8455" max="8455" width="2.140625" style="7" customWidth="1"/>
    <col min="8456" max="8456" width="1.42578125" style="7" customWidth="1"/>
    <col min="8457" max="8457" width="4" style="7" customWidth="1"/>
    <col min="8458" max="8458" width="10.140625" style="7" customWidth="1"/>
    <col min="8459" max="8459" width="6" style="7" customWidth="1"/>
    <col min="8460" max="8460" width="6.7109375" style="7" customWidth="1"/>
    <col min="8461" max="8461" width="12.85546875" style="7" customWidth="1"/>
    <col min="8462" max="8462" width="10.7109375" style="7" customWidth="1"/>
    <col min="8463" max="8463" width="9.140625" style="7"/>
    <col min="8464" max="8464" width="6.5703125" style="7" customWidth="1"/>
    <col min="8465" max="8465" width="7.5703125" style="7" customWidth="1"/>
    <col min="8466" max="8466" width="1.42578125" style="7" customWidth="1"/>
    <col min="8467" max="8467" width="5.28515625" style="7" customWidth="1"/>
    <col min="8468" max="8468" width="1" style="7" customWidth="1"/>
    <col min="8469" max="8469" width="2.140625" style="7" customWidth="1"/>
    <col min="8470" max="8470" width="1.42578125" style="7" customWidth="1"/>
    <col min="8471" max="8471" width="4" style="7" customWidth="1"/>
    <col min="8472" max="8472" width="10.140625" style="7" customWidth="1"/>
    <col min="8473" max="8473" width="6" style="7" customWidth="1"/>
    <col min="8474" max="8474" width="6.7109375" style="7" customWidth="1"/>
    <col min="8475" max="8475" width="11.42578125" style="7" customWidth="1"/>
    <col min="8476" max="8476" width="10.7109375" style="7" customWidth="1"/>
    <col min="8477" max="8493" width="4.85546875" style="7" customWidth="1"/>
    <col min="8494" max="8705" width="9.140625" style="7"/>
    <col min="8706" max="8706" width="6.5703125" style="7" customWidth="1"/>
    <col min="8707" max="8707" width="5.7109375" style="7" customWidth="1"/>
    <col min="8708" max="8708" width="1.42578125" style="7" customWidth="1"/>
    <col min="8709" max="8709" width="5.28515625" style="7" customWidth="1"/>
    <col min="8710" max="8710" width="1" style="7" customWidth="1"/>
    <col min="8711" max="8711" width="2.140625" style="7" customWidth="1"/>
    <col min="8712" max="8712" width="1.42578125" style="7" customWidth="1"/>
    <col min="8713" max="8713" width="4" style="7" customWidth="1"/>
    <col min="8714" max="8714" width="10.140625" style="7" customWidth="1"/>
    <col min="8715" max="8715" width="6" style="7" customWidth="1"/>
    <col min="8716" max="8716" width="6.7109375" style="7" customWidth="1"/>
    <col min="8717" max="8717" width="12.85546875" style="7" customWidth="1"/>
    <col min="8718" max="8718" width="10.7109375" style="7" customWidth="1"/>
    <col min="8719" max="8719" width="9.140625" style="7"/>
    <col min="8720" max="8720" width="6.5703125" style="7" customWidth="1"/>
    <col min="8721" max="8721" width="7.5703125" style="7" customWidth="1"/>
    <col min="8722" max="8722" width="1.42578125" style="7" customWidth="1"/>
    <col min="8723" max="8723" width="5.28515625" style="7" customWidth="1"/>
    <col min="8724" max="8724" width="1" style="7" customWidth="1"/>
    <col min="8725" max="8725" width="2.140625" style="7" customWidth="1"/>
    <col min="8726" max="8726" width="1.42578125" style="7" customWidth="1"/>
    <col min="8727" max="8727" width="4" style="7" customWidth="1"/>
    <col min="8728" max="8728" width="10.140625" style="7" customWidth="1"/>
    <col min="8729" max="8729" width="6" style="7" customWidth="1"/>
    <col min="8730" max="8730" width="6.7109375" style="7" customWidth="1"/>
    <col min="8731" max="8731" width="11.42578125" style="7" customWidth="1"/>
    <col min="8732" max="8732" width="10.7109375" style="7" customWidth="1"/>
    <col min="8733" max="8749" width="4.85546875" style="7" customWidth="1"/>
    <col min="8750" max="8961" width="9.140625" style="7"/>
    <col min="8962" max="8962" width="6.5703125" style="7" customWidth="1"/>
    <col min="8963" max="8963" width="5.7109375" style="7" customWidth="1"/>
    <col min="8964" max="8964" width="1.42578125" style="7" customWidth="1"/>
    <col min="8965" max="8965" width="5.28515625" style="7" customWidth="1"/>
    <col min="8966" max="8966" width="1" style="7" customWidth="1"/>
    <col min="8967" max="8967" width="2.140625" style="7" customWidth="1"/>
    <col min="8968" max="8968" width="1.42578125" style="7" customWidth="1"/>
    <col min="8969" max="8969" width="4" style="7" customWidth="1"/>
    <col min="8970" max="8970" width="10.140625" style="7" customWidth="1"/>
    <col min="8971" max="8971" width="6" style="7" customWidth="1"/>
    <col min="8972" max="8972" width="6.7109375" style="7" customWidth="1"/>
    <col min="8973" max="8973" width="12.85546875" style="7" customWidth="1"/>
    <col min="8974" max="8974" width="10.7109375" style="7" customWidth="1"/>
    <col min="8975" max="8975" width="9.140625" style="7"/>
    <col min="8976" max="8976" width="6.5703125" style="7" customWidth="1"/>
    <col min="8977" max="8977" width="7.5703125" style="7" customWidth="1"/>
    <col min="8978" max="8978" width="1.42578125" style="7" customWidth="1"/>
    <col min="8979" max="8979" width="5.28515625" style="7" customWidth="1"/>
    <col min="8980" max="8980" width="1" style="7" customWidth="1"/>
    <col min="8981" max="8981" width="2.140625" style="7" customWidth="1"/>
    <col min="8982" max="8982" width="1.42578125" style="7" customWidth="1"/>
    <col min="8983" max="8983" width="4" style="7" customWidth="1"/>
    <col min="8984" max="8984" width="10.140625" style="7" customWidth="1"/>
    <col min="8985" max="8985" width="6" style="7" customWidth="1"/>
    <col min="8986" max="8986" width="6.7109375" style="7" customWidth="1"/>
    <col min="8987" max="8987" width="11.42578125" style="7" customWidth="1"/>
    <col min="8988" max="8988" width="10.7109375" style="7" customWidth="1"/>
    <col min="8989" max="9005" width="4.85546875" style="7" customWidth="1"/>
    <col min="9006" max="9217" width="9.140625" style="7"/>
    <col min="9218" max="9218" width="6.5703125" style="7" customWidth="1"/>
    <col min="9219" max="9219" width="5.7109375" style="7" customWidth="1"/>
    <col min="9220" max="9220" width="1.42578125" style="7" customWidth="1"/>
    <col min="9221" max="9221" width="5.28515625" style="7" customWidth="1"/>
    <col min="9222" max="9222" width="1" style="7" customWidth="1"/>
    <col min="9223" max="9223" width="2.140625" style="7" customWidth="1"/>
    <col min="9224" max="9224" width="1.42578125" style="7" customWidth="1"/>
    <col min="9225" max="9225" width="4" style="7" customWidth="1"/>
    <col min="9226" max="9226" width="10.140625" style="7" customWidth="1"/>
    <col min="9227" max="9227" width="6" style="7" customWidth="1"/>
    <col min="9228" max="9228" width="6.7109375" style="7" customWidth="1"/>
    <col min="9229" max="9229" width="12.85546875" style="7" customWidth="1"/>
    <col min="9230" max="9230" width="10.7109375" style="7" customWidth="1"/>
    <col min="9231" max="9231" width="9.140625" style="7"/>
    <col min="9232" max="9232" width="6.5703125" style="7" customWidth="1"/>
    <col min="9233" max="9233" width="7.5703125" style="7" customWidth="1"/>
    <col min="9234" max="9234" width="1.42578125" style="7" customWidth="1"/>
    <col min="9235" max="9235" width="5.28515625" style="7" customWidth="1"/>
    <col min="9236" max="9236" width="1" style="7" customWidth="1"/>
    <col min="9237" max="9237" width="2.140625" style="7" customWidth="1"/>
    <col min="9238" max="9238" width="1.42578125" style="7" customWidth="1"/>
    <col min="9239" max="9239" width="4" style="7" customWidth="1"/>
    <col min="9240" max="9240" width="10.140625" style="7" customWidth="1"/>
    <col min="9241" max="9241" width="6" style="7" customWidth="1"/>
    <col min="9242" max="9242" width="6.7109375" style="7" customWidth="1"/>
    <col min="9243" max="9243" width="11.42578125" style="7" customWidth="1"/>
    <col min="9244" max="9244" width="10.7109375" style="7" customWidth="1"/>
    <col min="9245" max="9261" width="4.85546875" style="7" customWidth="1"/>
    <col min="9262" max="9473" width="9.140625" style="7"/>
    <col min="9474" max="9474" width="6.5703125" style="7" customWidth="1"/>
    <col min="9475" max="9475" width="5.7109375" style="7" customWidth="1"/>
    <col min="9476" max="9476" width="1.42578125" style="7" customWidth="1"/>
    <col min="9477" max="9477" width="5.28515625" style="7" customWidth="1"/>
    <col min="9478" max="9478" width="1" style="7" customWidth="1"/>
    <col min="9479" max="9479" width="2.140625" style="7" customWidth="1"/>
    <col min="9480" max="9480" width="1.42578125" style="7" customWidth="1"/>
    <col min="9481" max="9481" width="4" style="7" customWidth="1"/>
    <col min="9482" max="9482" width="10.140625" style="7" customWidth="1"/>
    <col min="9483" max="9483" width="6" style="7" customWidth="1"/>
    <col min="9484" max="9484" width="6.7109375" style="7" customWidth="1"/>
    <col min="9485" max="9485" width="12.85546875" style="7" customWidth="1"/>
    <col min="9486" max="9486" width="10.7109375" style="7" customWidth="1"/>
    <col min="9487" max="9487" width="9.140625" style="7"/>
    <col min="9488" max="9488" width="6.5703125" style="7" customWidth="1"/>
    <col min="9489" max="9489" width="7.5703125" style="7" customWidth="1"/>
    <col min="9490" max="9490" width="1.42578125" style="7" customWidth="1"/>
    <col min="9491" max="9491" width="5.28515625" style="7" customWidth="1"/>
    <col min="9492" max="9492" width="1" style="7" customWidth="1"/>
    <col min="9493" max="9493" width="2.140625" style="7" customWidth="1"/>
    <col min="9494" max="9494" width="1.42578125" style="7" customWidth="1"/>
    <col min="9495" max="9495" width="4" style="7" customWidth="1"/>
    <col min="9496" max="9496" width="10.140625" style="7" customWidth="1"/>
    <col min="9497" max="9497" width="6" style="7" customWidth="1"/>
    <col min="9498" max="9498" width="6.7109375" style="7" customWidth="1"/>
    <col min="9499" max="9499" width="11.42578125" style="7" customWidth="1"/>
    <col min="9500" max="9500" width="10.7109375" style="7" customWidth="1"/>
    <col min="9501" max="9517" width="4.85546875" style="7" customWidth="1"/>
    <col min="9518" max="9729" width="9.140625" style="7"/>
    <col min="9730" max="9730" width="6.5703125" style="7" customWidth="1"/>
    <col min="9731" max="9731" width="5.7109375" style="7" customWidth="1"/>
    <col min="9732" max="9732" width="1.42578125" style="7" customWidth="1"/>
    <col min="9733" max="9733" width="5.28515625" style="7" customWidth="1"/>
    <col min="9734" max="9734" width="1" style="7" customWidth="1"/>
    <col min="9735" max="9735" width="2.140625" style="7" customWidth="1"/>
    <col min="9736" max="9736" width="1.42578125" style="7" customWidth="1"/>
    <col min="9737" max="9737" width="4" style="7" customWidth="1"/>
    <col min="9738" max="9738" width="10.140625" style="7" customWidth="1"/>
    <col min="9739" max="9739" width="6" style="7" customWidth="1"/>
    <col min="9740" max="9740" width="6.7109375" style="7" customWidth="1"/>
    <col min="9741" max="9741" width="12.85546875" style="7" customWidth="1"/>
    <col min="9742" max="9742" width="10.7109375" style="7" customWidth="1"/>
    <col min="9743" max="9743" width="9.140625" style="7"/>
    <col min="9744" max="9744" width="6.5703125" style="7" customWidth="1"/>
    <col min="9745" max="9745" width="7.5703125" style="7" customWidth="1"/>
    <col min="9746" max="9746" width="1.42578125" style="7" customWidth="1"/>
    <col min="9747" max="9747" width="5.28515625" style="7" customWidth="1"/>
    <col min="9748" max="9748" width="1" style="7" customWidth="1"/>
    <col min="9749" max="9749" width="2.140625" style="7" customWidth="1"/>
    <col min="9750" max="9750" width="1.42578125" style="7" customWidth="1"/>
    <col min="9751" max="9751" width="4" style="7" customWidth="1"/>
    <col min="9752" max="9752" width="10.140625" style="7" customWidth="1"/>
    <col min="9753" max="9753" width="6" style="7" customWidth="1"/>
    <col min="9754" max="9754" width="6.7109375" style="7" customWidth="1"/>
    <col min="9755" max="9755" width="11.42578125" style="7" customWidth="1"/>
    <col min="9756" max="9756" width="10.7109375" style="7" customWidth="1"/>
    <col min="9757" max="9773" width="4.85546875" style="7" customWidth="1"/>
    <col min="9774" max="9985" width="9.140625" style="7"/>
    <col min="9986" max="9986" width="6.5703125" style="7" customWidth="1"/>
    <col min="9987" max="9987" width="5.7109375" style="7" customWidth="1"/>
    <col min="9988" max="9988" width="1.42578125" style="7" customWidth="1"/>
    <col min="9989" max="9989" width="5.28515625" style="7" customWidth="1"/>
    <col min="9990" max="9990" width="1" style="7" customWidth="1"/>
    <col min="9991" max="9991" width="2.140625" style="7" customWidth="1"/>
    <col min="9992" max="9992" width="1.42578125" style="7" customWidth="1"/>
    <col min="9993" max="9993" width="4" style="7" customWidth="1"/>
    <col min="9994" max="9994" width="10.140625" style="7" customWidth="1"/>
    <col min="9995" max="9995" width="6" style="7" customWidth="1"/>
    <col min="9996" max="9996" width="6.7109375" style="7" customWidth="1"/>
    <col min="9997" max="9997" width="12.85546875" style="7" customWidth="1"/>
    <col min="9998" max="9998" width="10.7109375" style="7" customWidth="1"/>
    <col min="9999" max="9999" width="9.140625" style="7"/>
    <col min="10000" max="10000" width="6.5703125" style="7" customWidth="1"/>
    <col min="10001" max="10001" width="7.5703125" style="7" customWidth="1"/>
    <col min="10002" max="10002" width="1.42578125" style="7" customWidth="1"/>
    <col min="10003" max="10003" width="5.28515625" style="7" customWidth="1"/>
    <col min="10004" max="10004" width="1" style="7" customWidth="1"/>
    <col min="10005" max="10005" width="2.140625" style="7" customWidth="1"/>
    <col min="10006" max="10006" width="1.42578125" style="7" customWidth="1"/>
    <col min="10007" max="10007" width="4" style="7" customWidth="1"/>
    <col min="10008" max="10008" width="10.140625" style="7" customWidth="1"/>
    <col min="10009" max="10009" width="6" style="7" customWidth="1"/>
    <col min="10010" max="10010" width="6.7109375" style="7" customWidth="1"/>
    <col min="10011" max="10011" width="11.42578125" style="7" customWidth="1"/>
    <col min="10012" max="10012" width="10.7109375" style="7" customWidth="1"/>
    <col min="10013" max="10029" width="4.85546875" style="7" customWidth="1"/>
    <col min="10030" max="10241" width="9.140625" style="7"/>
    <col min="10242" max="10242" width="6.5703125" style="7" customWidth="1"/>
    <col min="10243" max="10243" width="5.7109375" style="7" customWidth="1"/>
    <col min="10244" max="10244" width="1.42578125" style="7" customWidth="1"/>
    <col min="10245" max="10245" width="5.28515625" style="7" customWidth="1"/>
    <col min="10246" max="10246" width="1" style="7" customWidth="1"/>
    <col min="10247" max="10247" width="2.140625" style="7" customWidth="1"/>
    <col min="10248" max="10248" width="1.42578125" style="7" customWidth="1"/>
    <col min="10249" max="10249" width="4" style="7" customWidth="1"/>
    <col min="10250" max="10250" width="10.140625" style="7" customWidth="1"/>
    <col min="10251" max="10251" width="6" style="7" customWidth="1"/>
    <col min="10252" max="10252" width="6.7109375" style="7" customWidth="1"/>
    <col min="10253" max="10253" width="12.85546875" style="7" customWidth="1"/>
    <col min="10254" max="10254" width="10.7109375" style="7" customWidth="1"/>
    <col min="10255" max="10255" width="9.140625" style="7"/>
    <col min="10256" max="10256" width="6.5703125" style="7" customWidth="1"/>
    <col min="10257" max="10257" width="7.5703125" style="7" customWidth="1"/>
    <col min="10258" max="10258" width="1.42578125" style="7" customWidth="1"/>
    <col min="10259" max="10259" width="5.28515625" style="7" customWidth="1"/>
    <col min="10260" max="10260" width="1" style="7" customWidth="1"/>
    <col min="10261" max="10261" width="2.140625" style="7" customWidth="1"/>
    <col min="10262" max="10262" width="1.42578125" style="7" customWidth="1"/>
    <col min="10263" max="10263" width="4" style="7" customWidth="1"/>
    <col min="10264" max="10264" width="10.140625" style="7" customWidth="1"/>
    <col min="10265" max="10265" width="6" style="7" customWidth="1"/>
    <col min="10266" max="10266" width="6.7109375" style="7" customWidth="1"/>
    <col min="10267" max="10267" width="11.42578125" style="7" customWidth="1"/>
    <col min="10268" max="10268" width="10.7109375" style="7" customWidth="1"/>
    <col min="10269" max="10285" width="4.85546875" style="7" customWidth="1"/>
    <col min="10286" max="10497" width="9.140625" style="7"/>
    <col min="10498" max="10498" width="6.5703125" style="7" customWidth="1"/>
    <col min="10499" max="10499" width="5.7109375" style="7" customWidth="1"/>
    <col min="10500" max="10500" width="1.42578125" style="7" customWidth="1"/>
    <col min="10501" max="10501" width="5.28515625" style="7" customWidth="1"/>
    <col min="10502" max="10502" width="1" style="7" customWidth="1"/>
    <col min="10503" max="10503" width="2.140625" style="7" customWidth="1"/>
    <col min="10504" max="10504" width="1.42578125" style="7" customWidth="1"/>
    <col min="10505" max="10505" width="4" style="7" customWidth="1"/>
    <col min="10506" max="10506" width="10.140625" style="7" customWidth="1"/>
    <col min="10507" max="10507" width="6" style="7" customWidth="1"/>
    <col min="10508" max="10508" width="6.7109375" style="7" customWidth="1"/>
    <col min="10509" max="10509" width="12.85546875" style="7" customWidth="1"/>
    <col min="10510" max="10510" width="10.7109375" style="7" customWidth="1"/>
    <col min="10511" max="10511" width="9.140625" style="7"/>
    <col min="10512" max="10512" width="6.5703125" style="7" customWidth="1"/>
    <col min="10513" max="10513" width="7.5703125" style="7" customWidth="1"/>
    <col min="10514" max="10514" width="1.42578125" style="7" customWidth="1"/>
    <col min="10515" max="10515" width="5.28515625" style="7" customWidth="1"/>
    <col min="10516" max="10516" width="1" style="7" customWidth="1"/>
    <col min="10517" max="10517" width="2.140625" style="7" customWidth="1"/>
    <col min="10518" max="10518" width="1.42578125" style="7" customWidth="1"/>
    <col min="10519" max="10519" width="4" style="7" customWidth="1"/>
    <col min="10520" max="10520" width="10.140625" style="7" customWidth="1"/>
    <col min="10521" max="10521" width="6" style="7" customWidth="1"/>
    <col min="10522" max="10522" width="6.7109375" style="7" customWidth="1"/>
    <col min="10523" max="10523" width="11.42578125" style="7" customWidth="1"/>
    <col min="10524" max="10524" width="10.7109375" style="7" customWidth="1"/>
    <col min="10525" max="10541" width="4.85546875" style="7" customWidth="1"/>
    <col min="10542" max="10753" width="9.140625" style="7"/>
    <col min="10754" max="10754" width="6.5703125" style="7" customWidth="1"/>
    <col min="10755" max="10755" width="5.7109375" style="7" customWidth="1"/>
    <col min="10756" max="10756" width="1.42578125" style="7" customWidth="1"/>
    <col min="10757" max="10757" width="5.28515625" style="7" customWidth="1"/>
    <col min="10758" max="10758" width="1" style="7" customWidth="1"/>
    <col min="10759" max="10759" width="2.140625" style="7" customWidth="1"/>
    <col min="10760" max="10760" width="1.42578125" style="7" customWidth="1"/>
    <col min="10761" max="10761" width="4" style="7" customWidth="1"/>
    <col min="10762" max="10762" width="10.140625" style="7" customWidth="1"/>
    <col min="10763" max="10763" width="6" style="7" customWidth="1"/>
    <col min="10764" max="10764" width="6.7109375" style="7" customWidth="1"/>
    <col min="10765" max="10765" width="12.85546875" style="7" customWidth="1"/>
    <col min="10766" max="10766" width="10.7109375" style="7" customWidth="1"/>
    <col min="10767" max="10767" width="9.140625" style="7"/>
    <col min="10768" max="10768" width="6.5703125" style="7" customWidth="1"/>
    <col min="10769" max="10769" width="7.5703125" style="7" customWidth="1"/>
    <col min="10770" max="10770" width="1.42578125" style="7" customWidth="1"/>
    <col min="10771" max="10771" width="5.28515625" style="7" customWidth="1"/>
    <col min="10772" max="10772" width="1" style="7" customWidth="1"/>
    <col min="10773" max="10773" width="2.140625" style="7" customWidth="1"/>
    <col min="10774" max="10774" width="1.42578125" style="7" customWidth="1"/>
    <col min="10775" max="10775" width="4" style="7" customWidth="1"/>
    <col min="10776" max="10776" width="10.140625" style="7" customWidth="1"/>
    <col min="10777" max="10777" width="6" style="7" customWidth="1"/>
    <col min="10778" max="10778" width="6.7109375" style="7" customWidth="1"/>
    <col min="10779" max="10779" width="11.42578125" style="7" customWidth="1"/>
    <col min="10780" max="10780" width="10.7109375" style="7" customWidth="1"/>
    <col min="10781" max="10797" width="4.85546875" style="7" customWidth="1"/>
    <col min="10798" max="11009" width="9.140625" style="7"/>
    <col min="11010" max="11010" width="6.5703125" style="7" customWidth="1"/>
    <col min="11011" max="11011" width="5.7109375" style="7" customWidth="1"/>
    <col min="11012" max="11012" width="1.42578125" style="7" customWidth="1"/>
    <col min="11013" max="11013" width="5.28515625" style="7" customWidth="1"/>
    <col min="11014" max="11014" width="1" style="7" customWidth="1"/>
    <col min="11015" max="11015" width="2.140625" style="7" customWidth="1"/>
    <col min="11016" max="11016" width="1.42578125" style="7" customWidth="1"/>
    <col min="11017" max="11017" width="4" style="7" customWidth="1"/>
    <col min="11018" max="11018" width="10.140625" style="7" customWidth="1"/>
    <col min="11019" max="11019" width="6" style="7" customWidth="1"/>
    <col min="11020" max="11020" width="6.7109375" style="7" customWidth="1"/>
    <col min="11021" max="11021" width="12.85546875" style="7" customWidth="1"/>
    <col min="11022" max="11022" width="10.7109375" style="7" customWidth="1"/>
    <col min="11023" max="11023" width="9.140625" style="7"/>
    <col min="11024" max="11024" width="6.5703125" style="7" customWidth="1"/>
    <col min="11025" max="11025" width="7.5703125" style="7" customWidth="1"/>
    <col min="11026" max="11026" width="1.42578125" style="7" customWidth="1"/>
    <col min="11027" max="11027" width="5.28515625" style="7" customWidth="1"/>
    <col min="11028" max="11028" width="1" style="7" customWidth="1"/>
    <col min="11029" max="11029" width="2.140625" style="7" customWidth="1"/>
    <col min="11030" max="11030" width="1.42578125" style="7" customWidth="1"/>
    <col min="11031" max="11031" width="4" style="7" customWidth="1"/>
    <col min="11032" max="11032" width="10.140625" style="7" customWidth="1"/>
    <col min="11033" max="11033" width="6" style="7" customWidth="1"/>
    <col min="11034" max="11034" width="6.7109375" style="7" customWidth="1"/>
    <col min="11035" max="11035" width="11.42578125" style="7" customWidth="1"/>
    <col min="11036" max="11036" width="10.7109375" style="7" customWidth="1"/>
    <col min="11037" max="11053" width="4.85546875" style="7" customWidth="1"/>
    <col min="11054" max="11265" width="9.140625" style="7"/>
    <col min="11266" max="11266" width="6.5703125" style="7" customWidth="1"/>
    <col min="11267" max="11267" width="5.7109375" style="7" customWidth="1"/>
    <col min="11268" max="11268" width="1.42578125" style="7" customWidth="1"/>
    <col min="11269" max="11269" width="5.28515625" style="7" customWidth="1"/>
    <col min="11270" max="11270" width="1" style="7" customWidth="1"/>
    <col min="11271" max="11271" width="2.140625" style="7" customWidth="1"/>
    <col min="11272" max="11272" width="1.42578125" style="7" customWidth="1"/>
    <col min="11273" max="11273" width="4" style="7" customWidth="1"/>
    <col min="11274" max="11274" width="10.140625" style="7" customWidth="1"/>
    <col min="11275" max="11275" width="6" style="7" customWidth="1"/>
    <col min="11276" max="11276" width="6.7109375" style="7" customWidth="1"/>
    <col min="11277" max="11277" width="12.85546875" style="7" customWidth="1"/>
    <col min="11278" max="11278" width="10.7109375" style="7" customWidth="1"/>
    <col min="11279" max="11279" width="9.140625" style="7"/>
    <col min="11280" max="11280" width="6.5703125" style="7" customWidth="1"/>
    <col min="11281" max="11281" width="7.5703125" style="7" customWidth="1"/>
    <col min="11282" max="11282" width="1.42578125" style="7" customWidth="1"/>
    <col min="11283" max="11283" width="5.28515625" style="7" customWidth="1"/>
    <col min="11284" max="11284" width="1" style="7" customWidth="1"/>
    <col min="11285" max="11285" width="2.140625" style="7" customWidth="1"/>
    <col min="11286" max="11286" width="1.42578125" style="7" customWidth="1"/>
    <col min="11287" max="11287" width="4" style="7" customWidth="1"/>
    <col min="11288" max="11288" width="10.140625" style="7" customWidth="1"/>
    <col min="11289" max="11289" width="6" style="7" customWidth="1"/>
    <col min="11290" max="11290" width="6.7109375" style="7" customWidth="1"/>
    <col min="11291" max="11291" width="11.42578125" style="7" customWidth="1"/>
    <col min="11292" max="11292" width="10.7109375" style="7" customWidth="1"/>
    <col min="11293" max="11309" width="4.85546875" style="7" customWidth="1"/>
    <col min="11310" max="11521" width="9.140625" style="7"/>
    <col min="11522" max="11522" width="6.5703125" style="7" customWidth="1"/>
    <col min="11523" max="11523" width="5.7109375" style="7" customWidth="1"/>
    <col min="11524" max="11524" width="1.42578125" style="7" customWidth="1"/>
    <col min="11525" max="11525" width="5.28515625" style="7" customWidth="1"/>
    <col min="11526" max="11526" width="1" style="7" customWidth="1"/>
    <col min="11527" max="11527" width="2.140625" style="7" customWidth="1"/>
    <col min="11528" max="11528" width="1.42578125" style="7" customWidth="1"/>
    <col min="11529" max="11529" width="4" style="7" customWidth="1"/>
    <col min="11530" max="11530" width="10.140625" style="7" customWidth="1"/>
    <col min="11531" max="11531" width="6" style="7" customWidth="1"/>
    <col min="11532" max="11532" width="6.7109375" style="7" customWidth="1"/>
    <col min="11533" max="11533" width="12.85546875" style="7" customWidth="1"/>
    <col min="11534" max="11534" width="10.7109375" style="7" customWidth="1"/>
    <col min="11535" max="11535" width="9.140625" style="7"/>
    <col min="11536" max="11536" width="6.5703125" style="7" customWidth="1"/>
    <col min="11537" max="11537" width="7.5703125" style="7" customWidth="1"/>
    <col min="11538" max="11538" width="1.42578125" style="7" customWidth="1"/>
    <col min="11539" max="11539" width="5.28515625" style="7" customWidth="1"/>
    <col min="11540" max="11540" width="1" style="7" customWidth="1"/>
    <col min="11541" max="11541" width="2.140625" style="7" customWidth="1"/>
    <col min="11542" max="11542" width="1.42578125" style="7" customWidth="1"/>
    <col min="11543" max="11543" width="4" style="7" customWidth="1"/>
    <col min="11544" max="11544" width="10.140625" style="7" customWidth="1"/>
    <col min="11545" max="11545" width="6" style="7" customWidth="1"/>
    <col min="11546" max="11546" width="6.7109375" style="7" customWidth="1"/>
    <col min="11547" max="11547" width="11.42578125" style="7" customWidth="1"/>
    <col min="11548" max="11548" width="10.7109375" style="7" customWidth="1"/>
    <col min="11549" max="11565" width="4.85546875" style="7" customWidth="1"/>
    <col min="11566" max="11777" width="9.140625" style="7"/>
    <col min="11778" max="11778" width="6.5703125" style="7" customWidth="1"/>
    <col min="11779" max="11779" width="5.7109375" style="7" customWidth="1"/>
    <col min="11780" max="11780" width="1.42578125" style="7" customWidth="1"/>
    <col min="11781" max="11781" width="5.28515625" style="7" customWidth="1"/>
    <col min="11782" max="11782" width="1" style="7" customWidth="1"/>
    <col min="11783" max="11783" width="2.140625" style="7" customWidth="1"/>
    <col min="11784" max="11784" width="1.42578125" style="7" customWidth="1"/>
    <col min="11785" max="11785" width="4" style="7" customWidth="1"/>
    <col min="11786" max="11786" width="10.140625" style="7" customWidth="1"/>
    <col min="11787" max="11787" width="6" style="7" customWidth="1"/>
    <col min="11788" max="11788" width="6.7109375" style="7" customWidth="1"/>
    <col min="11789" max="11789" width="12.85546875" style="7" customWidth="1"/>
    <col min="11790" max="11790" width="10.7109375" style="7" customWidth="1"/>
    <col min="11791" max="11791" width="9.140625" style="7"/>
    <col min="11792" max="11792" width="6.5703125" style="7" customWidth="1"/>
    <col min="11793" max="11793" width="7.5703125" style="7" customWidth="1"/>
    <col min="11794" max="11794" width="1.42578125" style="7" customWidth="1"/>
    <col min="11795" max="11795" width="5.28515625" style="7" customWidth="1"/>
    <col min="11796" max="11796" width="1" style="7" customWidth="1"/>
    <col min="11797" max="11797" width="2.140625" style="7" customWidth="1"/>
    <col min="11798" max="11798" width="1.42578125" style="7" customWidth="1"/>
    <col min="11799" max="11799" width="4" style="7" customWidth="1"/>
    <col min="11800" max="11800" width="10.140625" style="7" customWidth="1"/>
    <col min="11801" max="11801" width="6" style="7" customWidth="1"/>
    <col min="11802" max="11802" width="6.7109375" style="7" customWidth="1"/>
    <col min="11803" max="11803" width="11.42578125" style="7" customWidth="1"/>
    <col min="11804" max="11804" width="10.7109375" style="7" customWidth="1"/>
    <col min="11805" max="11821" width="4.85546875" style="7" customWidth="1"/>
    <col min="11822" max="12033" width="9.140625" style="7"/>
    <col min="12034" max="12034" width="6.5703125" style="7" customWidth="1"/>
    <col min="12035" max="12035" width="5.7109375" style="7" customWidth="1"/>
    <col min="12036" max="12036" width="1.42578125" style="7" customWidth="1"/>
    <col min="12037" max="12037" width="5.28515625" style="7" customWidth="1"/>
    <col min="12038" max="12038" width="1" style="7" customWidth="1"/>
    <col min="12039" max="12039" width="2.140625" style="7" customWidth="1"/>
    <col min="12040" max="12040" width="1.42578125" style="7" customWidth="1"/>
    <col min="12041" max="12041" width="4" style="7" customWidth="1"/>
    <col min="12042" max="12042" width="10.140625" style="7" customWidth="1"/>
    <col min="12043" max="12043" width="6" style="7" customWidth="1"/>
    <col min="12044" max="12044" width="6.7109375" style="7" customWidth="1"/>
    <col min="12045" max="12045" width="12.85546875" style="7" customWidth="1"/>
    <col min="12046" max="12046" width="10.7109375" style="7" customWidth="1"/>
    <col min="12047" max="12047" width="9.140625" style="7"/>
    <col min="12048" max="12048" width="6.5703125" style="7" customWidth="1"/>
    <col min="12049" max="12049" width="7.5703125" style="7" customWidth="1"/>
    <col min="12050" max="12050" width="1.42578125" style="7" customWidth="1"/>
    <col min="12051" max="12051" width="5.28515625" style="7" customWidth="1"/>
    <col min="12052" max="12052" width="1" style="7" customWidth="1"/>
    <col min="12053" max="12053" width="2.140625" style="7" customWidth="1"/>
    <col min="12054" max="12054" width="1.42578125" style="7" customWidth="1"/>
    <col min="12055" max="12055" width="4" style="7" customWidth="1"/>
    <col min="12056" max="12056" width="10.140625" style="7" customWidth="1"/>
    <col min="12057" max="12057" width="6" style="7" customWidth="1"/>
    <col min="12058" max="12058" width="6.7109375" style="7" customWidth="1"/>
    <col min="12059" max="12059" width="11.42578125" style="7" customWidth="1"/>
    <col min="12060" max="12060" width="10.7109375" style="7" customWidth="1"/>
    <col min="12061" max="12077" width="4.85546875" style="7" customWidth="1"/>
    <col min="12078" max="12289" width="9.140625" style="7"/>
    <col min="12290" max="12290" width="6.5703125" style="7" customWidth="1"/>
    <col min="12291" max="12291" width="5.7109375" style="7" customWidth="1"/>
    <col min="12292" max="12292" width="1.42578125" style="7" customWidth="1"/>
    <col min="12293" max="12293" width="5.28515625" style="7" customWidth="1"/>
    <col min="12294" max="12294" width="1" style="7" customWidth="1"/>
    <col min="12295" max="12295" width="2.140625" style="7" customWidth="1"/>
    <col min="12296" max="12296" width="1.42578125" style="7" customWidth="1"/>
    <col min="12297" max="12297" width="4" style="7" customWidth="1"/>
    <col min="12298" max="12298" width="10.140625" style="7" customWidth="1"/>
    <col min="12299" max="12299" width="6" style="7" customWidth="1"/>
    <col min="12300" max="12300" width="6.7109375" style="7" customWidth="1"/>
    <col min="12301" max="12301" width="12.85546875" style="7" customWidth="1"/>
    <col min="12302" max="12302" width="10.7109375" style="7" customWidth="1"/>
    <col min="12303" max="12303" width="9.140625" style="7"/>
    <col min="12304" max="12304" width="6.5703125" style="7" customWidth="1"/>
    <col min="12305" max="12305" width="7.5703125" style="7" customWidth="1"/>
    <col min="12306" max="12306" width="1.42578125" style="7" customWidth="1"/>
    <col min="12307" max="12307" width="5.28515625" style="7" customWidth="1"/>
    <col min="12308" max="12308" width="1" style="7" customWidth="1"/>
    <col min="12309" max="12309" width="2.140625" style="7" customWidth="1"/>
    <col min="12310" max="12310" width="1.42578125" style="7" customWidth="1"/>
    <col min="12311" max="12311" width="4" style="7" customWidth="1"/>
    <col min="12312" max="12312" width="10.140625" style="7" customWidth="1"/>
    <col min="12313" max="12313" width="6" style="7" customWidth="1"/>
    <col min="12314" max="12314" width="6.7109375" style="7" customWidth="1"/>
    <col min="12315" max="12315" width="11.42578125" style="7" customWidth="1"/>
    <col min="12316" max="12316" width="10.7109375" style="7" customWidth="1"/>
    <col min="12317" max="12333" width="4.85546875" style="7" customWidth="1"/>
    <col min="12334" max="12545" width="9.140625" style="7"/>
    <col min="12546" max="12546" width="6.5703125" style="7" customWidth="1"/>
    <col min="12547" max="12547" width="5.7109375" style="7" customWidth="1"/>
    <col min="12548" max="12548" width="1.42578125" style="7" customWidth="1"/>
    <col min="12549" max="12549" width="5.28515625" style="7" customWidth="1"/>
    <col min="12550" max="12550" width="1" style="7" customWidth="1"/>
    <col min="12551" max="12551" width="2.140625" style="7" customWidth="1"/>
    <col min="12552" max="12552" width="1.42578125" style="7" customWidth="1"/>
    <col min="12553" max="12553" width="4" style="7" customWidth="1"/>
    <col min="12554" max="12554" width="10.140625" style="7" customWidth="1"/>
    <col min="12555" max="12555" width="6" style="7" customWidth="1"/>
    <col min="12556" max="12556" width="6.7109375" style="7" customWidth="1"/>
    <col min="12557" max="12557" width="12.85546875" style="7" customWidth="1"/>
    <col min="12558" max="12558" width="10.7109375" style="7" customWidth="1"/>
    <col min="12559" max="12559" width="9.140625" style="7"/>
    <col min="12560" max="12560" width="6.5703125" style="7" customWidth="1"/>
    <col min="12561" max="12561" width="7.5703125" style="7" customWidth="1"/>
    <col min="12562" max="12562" width="1.42578125" style="7" customWidth="1"/>
    <col min="12563" max="12563" width="5.28515625" style="7" customWidth="1"/>
    <col min="12564" max="12564" width="1" style="7" customWidth="1"/>
    <col min="12565" max="12565" width="2.140625" style="7" customWidth="1"/>
    <col min="12566" max="12566" width="1.42578125" style="7" customWidth="1"/>
    <col min="12567" max="12567" width="4" style="7" customWidth="1"/>
    <col min="12568" max="12568" width="10.140625" style="7" customWidth="1"/>
    <col min="12569" max="12569" width="6" style="7" customWidth="1"/>
    <col min="12570" max="12570" width="6.7109375" style="7" customWidth="1"/>
    <col min="12571" max="12571" width="11.42578125" style="7" customWidth="1"/>
    <col min="12572" max="12572" width="10.7109375" style="7" customWidth="1"/>
    <col min="12573" max="12589" width="4.85546875" style="7" customWidth="1"/>
    <col min="12590" max="12801" width="9.140625" style="7"/>
    <col min="12802" max="12802" width="6.5703125" style="7" customWidth="1"/>
    <col min="12803" max="12803" width="5.7109375" style="7" customWidth="1"/>
    <col min="12804" max="12804" width="1.42578125" style="7" customWidth="1"/>
    <col min="12805" max="12805" width="5.28515625" style="7" customWidth="1"/>
    <col min="12806" max="12806" width="1" style="7" customWidth="1"/>
    <col min="12807" max="12807" width="2.140625" style="7" customWidth="1"/>
    <col min="12808" max="12808" width="1.42578125" style="7" customWidth="1"/>
    <col min="12809" max="12809" width="4" style="7" customWidth="1"/>
    <col min="12810" max="12810" width="10.140625" style="7" customWidth="1"/>
    <col min="12811" max="12811" width="6" style="7" customWidth="1"/>
    <col min="12812" max="12812" width="6.7109375" style="7" customWidth="1"/>
    <col min="12813" max="12813" width="12.85546875" style="7" customWidth="1"/>
    <col min="12814" max="12814" width="10.7109375" style="7" customWidth="1"/>
    <col min="12815" max="12815" width="9.140625" style="7"/>
    <col min="12816" max="12816" width="6.5703125" style="7" customWidth="1"/>
    <col min="12817" max="12817" width="7.5703125" style="7" customWidth="1"/>
    <col min="12818" max="12818" width="1.42578125" style="7" customWidth="1"/>
    <col min="12819" max="12819" width="5.28515625" style="7" customWidth="1"/>
    <col min="12820" max="12820" width="1" style="7" customWidth="1"/>
    <col min="12821" max="12821" width="2.140625" style="7" customWidth="1"/>
    <col min="12822" max="12822" width="1.42578125" style="7" customWidth="1"/>
    <col min="12823" max="12823" width="4" style="7" customWidth="1"/>
    <col min="12824" max="12824" width="10.140625" style="7" customWidth="1"/>
    <col min="12825" max="12825" width="6" style="7" customWidth="1"/>
    <col min="12826" max="12826" width="6.7109375" style="7" customWidth="1"/>
    <col min="12827" max="12827" width="11.42578125" style="7" customWidth="1"/>
    <col min="12828" max="12828" width="10.7109375" style="7" customWidth="1"/>
    <col min="12829" max="12845" width="4.85546875" style="7" customWidth="1"/>
    <col min="12846" max="13057" width="9.140625" style="7"/>
    <col min="13058" max="13058" width="6.5703125" style="7" customWidth="1"/>
    <col min="13059" max="13059" width="5.7109375" style="7" customWidth="1"/>
    <col min="13060" max="13060" width="1.42578125" style="7" customWidth="1"/>
    <col min="13061" max="13061" width="5.28515625" style="7" customWidth="1"/>
    <col min="13062" max="13062" width="1" style="7" customWidth="1"/>
    <col min="13063" max="13063" width="2.140625" style="7" customWidth="1"/>
    <col min="13064" max="13064" width="1.42578125" style="7" customWidth="1"/>
    <col min="13065" max="13065" width="4" style="7" customWidth="1"/>
    <col min="13066" max="13066" width="10.140625" style="7" customWidth="1"/>
    <col min="13067" max="13067" width="6" style="7" customWidth="1"/>
    <col min="13068" max="13068" width="6.7109375" style="7" customWidth="1"/>
    <col min="13069" max="13069" width="12.85546875" style="7" customWidth="1"/>
    <col min="13070" max="13070" width="10.7109375" style="7" customWidth="1"/>
    <col min="13071" max="13071" width="9.140625" style="7"/>
    <col min="13072" max="13072" width="6.5703125" style="7" customWidth="1"/>
    <col min="13073" max="13073" width="7.5703125" style="7" customWidth="1"/>
    <col min="13074" max="13074" width="1.42578125" style="7" customWidth="1"/>
    <col min="13075" max="13075" width="5.28515625" style="7" customWidth="1"/>
    <col min="13076" max="13076" width="1" style="7" customWidth="1"/>
    <col min="13077" max="13077" width="2.140625" style="7" customWidth="1"/>
    <col min="13078" max="13078" width="1.42578125" style="7" customWidth="1"/>
    <col min="13079" max="13079" width="4" style="7" customWidth="1"/>
    <col min="13080" max="13080" width="10.140625" style="7" customWidth="1"/>
    <col min="13081" max="13081" width="6" style="7" customWidth="1"/>
    <col min="13082" max="13082" width="6.7109375" style="7" customWidth="1"/>
    <col min="13083" max="13083" width="11.42578125" style="7" customWidth="1"/>
    <col min="13084" max="13084" width="10.7109375" style="7" customWidth="1"/>
    <col min="13085" max="13101" width="4.85546875" style="7" customWidth="1"/>
    <col min="13102" max="13313" width="9.140625" style="7"/>
    <col min="13314" max="13314" width="6.5703125" style="7" customWidth="1"/>
    <col min="13315" max="13315" width="5.7109375" style="7" customWidth="1"/>
    <col min="13316" max="13316" width="1.42578125" style="7" customWidth="1"/>
    <col min="13317" max="13317" width="5.28515625" style="7" customWidth="1"/>
    <col min="13318" max="13318" width="1" style="7" customWidth="1"/>
    <col min="13319" max="13319" width="2.140625" style="7" customWidth="1"/>
    <col min="13320" max="13320" width="1.42578125" style="7" customWidth="1"/>
    <col min="13321" max="13321" width="4" style="7" customWidth="1"/>
    <col min="13322" max="13322" width="10.140625" style="7" customWidth="1"/>
    <col min="13323" max="13323" width="6" style="7" customWidth="1"/>
    <col min="13324" max="13324" width="6.7109375" style="7" customWidth="1"/>
    <col min="13325" max="13325" width="12.85546875" style="7" customWidth="1"/>
    <col min="13326" max="13326" width="10.7109375" style="7" customWidth="1"/>
    <col min="13327" max="13327" width="9.140625" style="7"/>
    <col min="13328" max="13328" width="6.5703125" style="7" customWidth="1"/>
    <col min="13329" max="13329" width="7.5703125" style="7" customWidth="1"/>
    <col min="13330" max="13330" width="1.42578125" style="7" customWidth="1"/>
    <col min="13331" max="13331" width="5.28515625" style="7" customWidth="1"/>
    <col min="13332" max="13332" width="1" style="7" customWidth="1"/>
    <col min="13333" max="13333" width="2.140625" style="7" customWidth="1"/>
    <col min="13334" max="13334" width="1.42578125" style="7" customWidth="1"/>
    <col min="13335" max="13335" width="4" style="7" customWidth="1"/>
    <col min="13336" max="13336" width="10.140625" style="7" customWidth="1"/>
    <col min="13337" max="13337" width="6" style="7" customWidth="1"/>
    <col min="13338" max="13338" width="6.7109375" style="7" customWidth="1"/>
    <col min="13339" max="13339" width="11.42578125" style="7" customWidth="1"/>
    <col min="13340" max="13340" width="10.7109375" style="7" customWidth="1"/>
    <col min="13341" max="13357" width="4.85546875" style="7" customWidth="1"/>
    <col min="13358" max="13569" width="9.140625" style="7"/>
    <col min="13570" max="13570" width="6.5703125" style="7" customWidth="1"/>
    <col min="13571" max="13571" width="5.7109375" style="7" customWidth="1"/>
    <col min="13572" max="13572" width="1.42578125" style="7" customWidth="1"/>
    <col min="13573" max="13573" width="5.28515625" style="7" customWidth="1"/>
    <col min="13574" max="13574" width="1" style="7" customWidth="1"/>
    <col min="13575" max="13575" width="2.140625" style="7" customWidth="1"/>
    <col min="13576" max="13576" width="1.42578125" style="7" customWidth="1"/>
    <col min="13577" max="13577" width="4" style="7" customWidth="1"/>
    <col min="13578" max="13578" width="10.140625" style="7" customWidth="1"/>
    <col min="13579" max="13579" width="6" style="7" customWidth="1"/>
    <col min="13580" max="13580" width="6.7109375" style="7" customWidth="1"/>
    <col min="13581" max="13581" width="12.85546875" style="7" customWidth="1"/>
    <col min="13582" max="13582" width="10.7109375" style="7" customWidth="1"/>
    <col min="13583" max="13583" width="9.140625" style="7"/>
    <col min="13584" max="13584" width="6.5703125" style="7" customWidth="1"/>
    <col min="13585" max="13585" width="7.5703125" style="7" customWidth="1"/>
    <col min="13586" max="13586" width="1.42578125" style="7" customWidth="1"/>
    <col min="13587" max="13587" width="5.28515625" style="7" customWidth="1"/>
    <col min="13588" max="13588" width="1" style="7" customWidth="1"/>
    <col min="13589" max="13589" width="2.140625" style="7" customWidth="1"/>
    <col min="13590" max="13590" width="1.42578125" style="7" customWidth="1"/>
    <col min="13591" max="13591" width="4" style="7" customWidth="1"/>
    <col min="13592" max="13592" width="10.140625" style="7" customWidth="1"/>
    <col min="13593" max="13593" width="6" style="7" customWidth="1"/>
    <col min="13594" max="13594" width="6.7109375" style="7" customWidth="1"/>
    <col min="13595" max="13595" width="11.42578125" style="7" customWidth="1"/>
    <col min="13596" max="13596" width="10.7109375" style="7" customWidth="1"/>
    <col min="13597" max="13613" width="4.85546875" style="7" customWidth="1"/>
    <col min="13614" max="13825" width="9.140625" style="7"/>
    <col min="13826" max="13826" width="6.5703125" style="7" customWidth="1"/>
    <col min="13827" max="13827" width="5.7109375" style="7" customWidth="1"/>
    <col min="13828" max="13828" width="1.42578125" style="7" customWidth="1"/>
    <col min="13829" max="13829" width="5.28515625" style="7" customWidth="1"/>
    <col min="13830" max="13830" width="1" style="7" customWidth="1"/>
    <col min="13831" max="13831" width="2.140625" style="7" customWidth="1"/>
    <col min="13832" max="13832" width="1.42578125" style="7" customWidth="1"/>
    <col min="13833" max="13833" width="4" style="7" customWidth="1"/>
    <col min="13834" max="13834" width="10.140625" style="7" customWidth="1"/>
    <col min="13835" max="13835" width="6" style="7" customWidth="1"/>
    <col min="13836" max="13836" width="6.7109375" style="7" customWidth="1"/>
    <col min="13837" max="13837" width="12.85546875" style="7" customWidth="1"/>
    <col min="13838" max="13838" width="10.7109375" style="7" customWidth="1"/>
    <col min="13839" max="13839" width="9.140625" style="7"/>
    <col min="13840" max="13840" width="6.5703125" style="7" customWidth="1"/>
    <col min="13841" max="13841" width="7.5703125" style="7" customWidth="1"/>
    <col min="13842" max="13842" width="1.42578125" style="7" customWidth="1"/>
    <col min="13843" max="13843" width="5.28515625" style="7" customWidth="1"/>
    <col min="13844" max="13844" width="1" style="7" customWidth="1"/>
    <col min="13845" max="13845" width="2.140625" style="7" customWidth="1"/>
    <col min="13846" max="13846" width="1.42578125" style="7" customWidth="1"/>
    <col min="13847" max="13847" width="4" style="7" customWidth="1"/>
    <col min="13848" max="13848" width="10.140625" style="7" customWidth="1"/>
    <col min="13849" max="13849" width="6" style="7" customWidth="1"/>
    <col min="13850" max="13850" width="6.7109375" style="7" customWidth="1"/>
    <col min="13851" max="13851" width="11.42578125" style="7" customWidth="1"/>
    <col min="13852" max="13852" width="10.7109375" style="7" customWidth="1"/>
    <col min="13853" max="13869" width="4.85546875" style="7" customWidth="1"/>
    <col min="13870" max="14081" width="9.140625" style="7"/>
    <col min="14082" max="14082" width="6.5703125" style="7" customWidth="1"/>
    <col min="14083" max="14083" width="5.7109375" style="7" customWidth="1"/>
    <col min="14084" max="14084" width="1.42578125" style="7" customWidth="1"/>
    <col min="14085" max="14085" width="5.28515625" style="7" customWidth="1"/>
    <col min="14086" max="14086" width="1" style="7" customWidth="1"/>
    <col min="14087" max="14087" width="2.140625" style="7" customWidth="1"/>
    <col min="14088" max="14088" width="1.42578125" style="7" customWidth="1"/>
    <col min="14089" max="14089" width="4" style="7" customWidth="1"/>
    <col min="14090" max="14090" width="10.140625" style="7" customWidth="1"/>
    <col min="14091" max="14091" width="6" style="7" customWidth="1"/>
    <col min="14092" max="14092" width="6.7109375" style="7" customWidth="1"/>
    <col min="14093" max="14093" width="12.85546875" style="7" customWidth="1"/>
    <col min="14094" max="14094" width="10.7109375" style="7" customWidth="1"/>
    <col min="14095" max="14095" width="9.140625" style="7"/>
    <col min="14096" max="14096" width="6.5703125" style="7" customWidth="1"/>
    <col min="14097" max="14097" width="7.5703125" style="7" customWidth="1"/>
    <col min="14098" max="14098" width="1.42578125" style="7" customWidth="1"/>
    <col min="14099" max="14099" width="5.28515625" style="7" customWidth="1"/>
    <col min="14100" max="14100" width="1" style="7" customWidth="1"/>
    <col min="14101" max="14101" width="2.140625" style="7" customWidth="1"/>
    <col min="14102" max="14102" width="1.42578125" style="7" customWidth="1"/>
    <col min="14103" max="14103" width="4" style="7" customWidth="1"/>
    <col min="14104" max="14104" width="10.140625" style="7" customWidth="1"/>
    <col min="14105" max="14105" width="6" style="7" customWidth="1"/>
    <col min="14106" max="14106" width="6.7109375" style="7" customWidth="1"/>
    <col min="14107" max="14107" width="11.42578125" style="7" customWidth="1"/>
    <col min="14108" max="14108" width="10.7109375" style="7" customWidth="1"/>
    <col min="14109" max="14125" width="4.85546875" style="7" customWidth="1"/>
    <col min="14126" max="14337" width="9.140625" style="7"/>
    <col min="14338" max="14338" width="6.5703125" style="7" customWidth="1"/>
    <col min="14339" max="14339" width="5.7109375" style="7" customWidth="1"/>
    <col min="14340" max="14340" width="1.42578125" style="7" customWidth="1"/>
    <col min="14341" max="14341" width="5.28515625" style="7" customWidth="1"/>
    <col min="14342" max="14342" width="1" style="7" customWidth="1"/>
    <col min="14343" max="14343" width="2.140625" style="7" customWidth="1"/>
    <col min="14344" max="14344" width="1.42578125" style="7" customWidth="1"/>
    <col min="14345" max="14345" width="4" style="7" customWidth="1"/>
    <col min="14346" max="14346" width="10.140625" style="7" customWidth="1"/>
    <col min="14347" max="14347" width="6" style="7" customWidth="1"/>
    <col min="14348" max="14348" width="6.7109375" style="7" customWidth="1"/>
    <col min="14349" max="14349" width="12.85546875" style="7" customWidth="1"/>
    <col min="14350" max="14350" width="10.7109375" style="7" customWidth="1"/>
    <col min="14351" max="14351" width="9.140625" style="7"/>
    <col min="14352" max="14352" width="6.5703125" style="7" customWidth="1"/>
    <col min="14353" max="14353" width="7.5703125" style="7" customWidth="1"/>
    <col min="14354" max="14354" width="1.42578125" style="7" customWidth="1"/>
    <col min="14355" max="14355" width="5.28515625" style="7" customWidth="1"/>
    <col min="14356" max="14356" width="1" style="7" customWidth="1"/>
    <col min="14357" max="14357" width="2.140625" style="7" customWidth="1"/>
    <col min="14358" max="14358" width="1.42578125" style="7" customWidth="1"/>
    <col min="14359" max="14359" width="4" style="7" customWidth="1"/>
    <col min="14360" max="14360" width="10.140625" style="7" customWidth="1"/>
    <col min="14361" max="14361" width="6" style="7" customWidth="1"/>
    <col min="14362" max="14362" width="6.7109375" style="7" customWidth="1"/>
    <col min="14363" max="14363" width="11.42578125" style="7" customWidth="1"/>
    <col min="14364" max="14364" width="10.7109375" style="7" customWidth="1"/>
    <col min="14365" max="14381" width="4.85546875" style="7" customWidth="1"/>
    <col min="14382" max="14593" width="9.140625" style="7"/>
    <col min="14594" max="14594" width="6.5703125" style="7" customWidth="1"/>
    <col min="14595" max="14595" width="5.7109375" style="7" customWidth="1"/>
    <col min="14596" max="14596" width="1.42578125" style="7" customWidth="1"/>
    <col min="14597" max="14597" width="5.28515625" style="7" customWidth="1"/>
    <col min="14598" max="14598" width="1" style="7" customWidth="1"/>
    <col min="14599" max="14599" width="2.140625" style="7" customWidth="1"/>
    <col min="14600" max="14600" width="1.42578125" style="7" customWidth="1"/>
    <col min="14601" max="14601" width="4" style="7" customWidth="1"/>
    <col min="14602" max="14602" width="10.140625" style="7" customWidth="1"/>
    <col min="14603" max="14603" width="6" style="7" customWidth="1"/>
    <col min="14604" max="14604" width="6.7109375" style="7" customWidth="1"/>
    <col min="14605" max="14605" width="12.85546875" style="7" customWidth="1"/>
    <col min="14606" max="14606" width="10.7109375" style="7" customWidth="1"/>
    <col min="14607" max="14607" width="9.140625" style="7"/>
    <col min="14608" max="14608" width="6.5703125" style="7" customWidth="1"/>
    <col min="14609" max="14609" width="7.5703125" style="7" customWidth="1"/>
    <col min="14610" max="14610" width="1.42578125" style="7" customWidth="1"/>
    <col min="14611" max="14611" width="5.28515625" style="7" customWidth="1"/>
    <col min="14612" max="14612" width="1" style="7" customWidth="1"/>
    <col min="14613" max="14613" width="2.140625" style="7" customWidth="1"/>
    <col min="14614" max="14614" width="1.42578125" style="7" customWidth="1"/>
    <col min="14615" max="14615" width="4" style="7" customWidth="1"/>
    <col min="14616" max="14616" width="10.140625" style="7" customWidth="1"/>
    <col min="14617" max="14617" width="6" style="7" customWidth="1"/>
    <col min="14618" max="14618" width="6.7109375" style="7" customWidth="1"/>
    <col min="14619" max="14619" width="11.42578125" style="7" customWidth="1"/>
    <col min="14620" max="14620" width="10.7109375" style="7" customWidth="1"/>
    <col min="14621" max="14637" width="4.85546875" style="7" customWidth="1"/>
    <col min="14638" max="14849" width="9.140625" style="7"/>
    <col min="14850" max="14850" width="6.5703125" style="7" customWidth="1"/>
    <col min="14851" max="14851" width="5.7109375" style="7" customWidth="1"/>
    <col min="14852" max="14852" width="1.42578125" style="7" customWidth="1"/>
    <col min="14853" max="14853" width="5.28515625" style="7" customWidth="1"/>
    <col min="14854" max="14854" width="1" style="7" customWidth="1"/>
    <col min="14855" max="14855" width="2.140625" style="7" customWidth="1"/>
    <col min="14856" max="14856" width="1.42578125" style="7" customWidth="1"/>
    <col min="14857" max="14857" width="4" style="7" customWidth="1"/>
    <col min="14858" max="14858" width="10.140625" style="7" customWidth="1"/>
    <col min="14859" max="14859" width="6" style="7" customWidth="1"/>
    <col min="14860" max="14860" width="6.7109375" style="7" customWidth="1"/>
    <col min="14861" max="14861" width="12.85546875" style="7" customWidth="1"/>
    <col min="14862" max="14862" width="10.7109375" style="7" customWidth="1"/>
    <col min="14863" max="14863" width="9.140625" style="7"/>
    <col min="14864" max="14864" width="6.5703125" style="7" customWidth="1"/>
    <col min="14865" max="14865" width="7.5703125" style="7" customWidth="1"/>
    <col min="14866" max="14866" width="1.42578125" style="7" customWidth="1"/>
    <col min="14867" max="14867" width="5.28515625" style="7" customWidth="1"/>
    <col min="14868" max="14868" width="1" style="7" customWidth="1"/>
    <col min="14869" max="14869" width="2.140625" style="7" customWidth="1"/>
    <col min="14870" max="14870" width="1.42578125" style="7" customWidth="1"/>
    <col min="14871" max="14871" width="4" style="7" customWidth="1"/>
    <col min="14872" max="14872" width="10.140625" style="7" customWidth="1"/>
    <col min="14873" max="14873" width="6" style="7" customWidth="1"/>
    <col min="14874" max="14874" width="6.7109375" style="7" customWidth="1"/>
    <col min="14875" max="14875" width="11.42578125" style="7" customWidth="1"/>
    <col min="14876" max="14876" width="10.7109375" style="7" customWidth="1"/>
    <col min="14877" max="14893" width="4.85546875" style="7" customWidth="1"/>
    <col min="14894" max="15105" width="9.140625" style="7"/>
    <col min="15106" max="15106" width="6.5703125" style="7" customWidth="1"/>
    <col min="15107" max="15107" width="5.7109375" style="7" customWidth="1"/>
    <col min="15108" max="15108" width="1.42578125" style="7" customWidth="1"/>
    <col min="15109" max="15109" width="5.28515625" style="7" customWidth="1"/>
    <col min="15110" max="15110" width="1" style="7" customWidth="1"/>
    <col min="15111" max="15111" width="2.140625" style="7" customWidth="1"/>
    <col min="15112" max="15112" width="1.42578125" style="7" customWidth="1"/>
    <col min="15113" max="15113" width="4" style="7" customWidth="1"/>
    <col min="15114" max="15114" width="10.140625" style="7" customWidth="1"/>
    <col min="15115" max="15115" width="6" style="7" customWidth="1"/>
    <col min="15116" max="15116" width="6.7109375" style="7" customWidth="1"/>
    <col min="15117" max="15117" width="12.85546875" style="7" customWidth="1"/>
    <col min="15118" max="15118" width="10.7109375" style="7" customWidth="1"/>
    <col min="15119" max="15119" width="9.140625" style="7"/>
    <col min="15120" max="15120" width="6.5703125" style="7" customWidth="1"/>
    <col min="15121" max="15121" width="7.5703125" style="7" customWidth="1"/>
    <col min="15122" max="15122" width="1.42578125" style="7" customWidth="1"/>
    <col min="15123" max="15123" width="5.28515625" style="7" customWidth="1"/>
    <col min="15124" max="15124" width="1" style="7" customWidth="1"/>
    <col min="15125" max="15125" width="2.140625" style="7" customWidth="1"/>
    <col min="15126" max="15126" width="1.42578125" style="7" customWidth="1"/>
    <col min="15127" max="15127" width="4" style="7" customWidth="1"/>
    <col min="15128" max="15128" width="10.140625" style="7" customWidth="1"/>
    <col min="15129" max="15129" width="6" style="7" customWidth="1"/>
    <col min="15130" max="15130" width="6.7109375" style="7" customWidth="1"/>
    <col min="15131" max="15131" width="11.42578125" style="7" customWidth="1"/>
    <col min="15132" max="15132" width="10.7109375" style="7" customWidth="1"/>
    <col min="15133" max="15149" width="4.85546875" style="7" customWidth="1"/>
    <col min="15150" max="15361" width="9.140625" style="7"/>
    <col min="15362" max="15362" width="6.5703125" style="7" customWidth="1"/>
    <col min="15363" max="15363" width="5.7109375" style="7" customWidth="1"/>
    <col min="15364" max="15364" width="1.42578125" style="7" customWidth="1"/>
    <col min="15365" max="15365" width="5.28515625" style="7" customWidth="1"/>
    <col min="15366" max="15366" width="1" style="7" customWidth="1"/>
    <col min="15367" max="15367" width="2.140625" style="7" customWidth="1"/>
    <col min="15368" max="15368" width="1.42578125" style="7" customWidth="1"/>
    <col min="15369" max="15369" width="4" style="7" customWidth="1"/>
    <col min="15370" max="15370" width="10.140625" style="7" customWidth="1"/>
    <col min="15371" max="15371" width="6" style="7" customWidth="1"/>
    <col min="15372" max="15372" width="6.7109375" style="7" customWidth="1"/>
    <col min="15373" max="15373" width="12.85546875" style="7" customWidth="1"/>
    <col min="15374" max="15374" width="10.7109375" style="7" customWidth="1"/>
    <col min="15375" max="15375" width="9.140625" style="7"/>
    <col min="15376" max="15376" width="6.5703125" style="7" customWidth="1"/>
    <col min="15377" max="15377" width="7.5703125" style="7" customWidth="1"/>
    <col min="15378" max="15378" width="1.42578125" style="7" customWidth="1"/>
    <col min="15379" max="15379" width="5.28515625" style="7" customWidth="1"/>
    <col min="15380" max="15380" width="1" style="7" customWidth="1"/>
    <col min="15381" max="15381" width="2.140625" style="7" customWidth="1"/>
    <col min="15382" max="15382" width="1.42578125" style="7" customWidth="1"/>
    <col min="15383" max="15383" width="4" style="7" customWidth="1"/>
    <col min="15384" max="15384" width="10.140625" style="7" customWidth="1"/>
    <col min="15385" max="15385" width="6" style="7" customWidth="1"/>
    <col min="15386" max="15386" width="6.7109375" style="7" customWidth="1"/>
    <col min="15387" max="15387" width="11.42578125" style="7" customWidth="1"/>
    <col min="15388" max="15388" width="10.7109375" style="7" customWidth="1"/>
    <col min="15389" max="15405" width="4.85546875" style="7" customWidth="1"/>
    <col min="15406" max="15617" width="9.140625" style="7"/>
    <col min="15618" max="15618" width="6.5703125" style="7" customWidth="1"/>
    <col min="15619" max="15619" width="5.7109375" style="7" customWidth="1"/>
    <col min="15620" max="15620" width="1.42578125" style="7" customWidth="1"/>
    <col min="15621" max="15621" width="5.28515625" style="7" customWidth="1"/>
    <col min="15622" max="15622" width="1" style="7" customWidth="1"/>
    <col min="15623" max="15623" width="2.140625" style="7" customWidth="1"/>
    <col min="15624" max="15624" width="1.42578125" style="7" customWidth="1"/>
    <col min="15625" max="15625" width="4" style="7" customWidth="1"/>
    <col min="15626" max="15626" width="10.140625" style="7" customWidth="1"/>
    <col min="15627" max="15627" width="6" style="7" customWidth="1"/>
    <col min="15628" max="15628" width="6.7109375" style="7" customWidth="1"/>
    <col min="15629" max="15629" width="12.85546875" style="7" customWidth="1"/>
    <col min="15630" max="15630" width="10.7109375" style="7" customWidth="1"/>
    <col min="15631" max="15631" width="9.140625" style="7"/>
    <col min="15632" max="15632" width="6.5703125" style="7" customWidth="1"/>
    <col min="15633" max="15633" width="7.5703125" style="7" customWidth="1"/>
    <col min="15634" max="15634" width="1.42578125" style="7" customWidth="1"/>
    <col min="15635" max="15635" width="5.28515625" style="7" customWidth="1"/>
    <col min="15636" max="15636" width="1" style="7" customWidth="1"/>
    <col min="15637" max="15637" width="2.140625" style="7" customWidth="1"/>
    <col min="15638" max="15638" width="1.42578125" style="7" customWidth="1"/>
    <col min="15639" max="15639" width="4" style="7" customWidth="1"/>
    <col min="15640" max="15640" width="10.140625" style="7" customWidth="1"/>
    <col min="15641" max="15641" width="6" style="7" customWidth="1"/>
    <col min="15642" max="15642" width="6.7109375" style="7" customWidth="1"/>
    <col min="15643" max="15643" width="11.42578125" style="7" customWidth="1"/>
    <col min="15644" max="15644" width="10.7109375" style="7" customWidth="1"/>
    <col min="15645" max="15661" width="4.85546875" style="7" customWidth="1"/>
    <col min="15662" max="15873" width="9.140625" style="7"/>
    <col min="15874" max="15874" width="6.5703125" style="7" customWidth="1"/>
    <col min="15875" max="15875" width="5.7109375" style="7" customWidth="1"/>
    <col min="15876" max="15876" width="1.42578125" style="7" customWidth="1"/>
    <col min="15877" max="15877" width="5.28515625" style="7" customWidth="1"/>
    <col min="15878" max="15878" width="1" style="7" customWidth="1"/>
    <col min="15879" max="15879" width="2.140625" style="7" customWidth="1"/>
    <col min="15880" max="15880" width="1.42578125" style="7" customWidth="1"/>
    <col min="15881" max="15881" width="4" style="7" customWidth="1"/>
    <col min="15882" max="15882" width="10.140625" style="7" customWidth="1"/>
    <col min="15883" max="15883" width="6" style="7" customWidth="1"/>
    <col min="15884" max="15884" width="6.7109375" style="7" customWidth="1"/>
    <col min="15885" max="15885" width="12.85546875" style="7" customWidth="1"/>
    <col min="15886" max="15886" width="10.7109375" style="7" customWidth="1"/>
    <col min="15887" max="15887" width="9.140625" style="7"/>
    <col min="15888" max="15888" width="6.5703125" style="7" customWidth="1"/>
    <col min="15889" max="15889" width="7.5703125" style="7" customWidth="1"/>
    <col min="15890" max="15890" width="1.42578125" style="7" customWidth="1"/>
    <col min="15891" max="15891" width="5.28515625" style="7" customWidth="1"/>
    <col min="15892" max="15892" width="1" style="7" customWidth="1"/>
    <col min="15893" max="15893" width="2.140625" style="7" customWidth="1"/>
    <col min="15894" max="15894" width="1.42578125" style="7" customWidth="1"/>
    <col min="15895" max="15895" width="4" style="7" customWidth="1"/>
    <col min="15896" max="15896" width="10.140625" style="7" customWidth="1"/>
    <col min="15897" max="15897" width="6" style="7" customWidth="1"/>
    <col min="15898" max="15898" width="6.7109375" style="7" customWidth="1"/>
    <col min="15899" max="15899" width="11.42578125" style="7" customWidth="1"/>
    <col min="15900" max="15900" width="10.7109375" style="7" customWidth="1"/>
    <col min="15901" max="15917" width="4.85546875" style="7" customWidth="1"/>
    <col min="15918" max="16129" width="9.140625" style="7"/>
    <col min="16130" max="16130" width="6.5703125" style="7" customWidth="1"/>
    <col min="16131" max="16131" width="5.7109375" style="7" customWidth="1"/>
    <col min="16132" max="16132" width="1.42578125" style="7" customWidth="1"/>
    <col min="16133" max="16133" width="5.28515625" style="7" customWidth="1"/>
    <col min="16134" max="16134" width="1" style="7" customWidth="1"/>
    <col min="16135" max="16135" width="2.140625" style="7" customWidth="1"/>
    <col min="16136" max="16136" width="1.42578125" style="7" customWidth="1"/>
    <col min="16137" max="16137" width="4" style="7" customWidth="1"/>
    <col min="16138" max="16138" width="10.140625" style="7" customWidth="1"/>
    <col min="16139" max="16139" width="6" style="7" customWidth="1"/>
    <col min="16140" max="16140" width="6.7109375" style="7" customWidth="1"/>
    <col min="16141" max="16141" width="12.85546875" style="7" customWidth="1"/>
    <col min="16142" max="16142" width="10.7109375" style="7" customWidth="1"/>
    <col min="16143" max="16143" width="9.140625" style="7"/>
    <col min="16144" max="16144" width="6.5703125" style="7" customWidth="1"/>
    <col min="16145" max="16145" width="7.5703125" style="7" customWidth="1"/>
    <col min="16146" max="16146" width="1.42578125" style="7" customWidth="1"/>
    <col min="16147" max="16147" width="5.28515625" style="7" customWidth="1"/>
    <col min="16148" max="16148" width="1" style="7" customWidth="1"/>
    <col min="16149" max="16149" width="2.140625" style="7" customWidth="1"/>
    <col min="16150" max="16150" width="1.42578125" style="7" customWidth="1"/>
    <col min="16151" max="16151" width="4" style="7" customWidth="1"/>
    <col min="16152" max="16152" width="10.140625" style="7" customWidth="1"/>
    <col min="16153" max="16153" width="6" style="7" customWidth="1"/>
    <col min="16154" max="16154" width="6.7109375" style="7" customWidth="1"/>
    <col min="16155" max="16155" width="11.42578125" style="7" customWidth="1"/>
    <col min="16156" max="16156" width="10.7109375" style="7" customWidth="1"/>
    <col min="16157" max="16173" width="4.85546875" style="7" customWidth="1"/>
    <col min="16174" max="16384" width="9.140625" style="7"/>
  </cols>
  <sheetData>
    <row r="1" spans="1:42" ht="18.75" customHeight="1" x14ac:dyDescent="0.3">
      <c r="A1" s="1"/>
      <c r="B1" s="2"/>
      <c r="C1" s="3"/>
      <c r="D1" s="4"/>
      <c r="E1" s="2"/>
      <c r="F1" s="4"/>
      <c r="G1" s="2"/>
      <c r="H1" s="4"/>
      <c r="I1" s="5"/>
      <c r="J1" s="6"/>
      <c r="K1" s="6"/>
      <c r="L1" s="6"/>
      <c r="M1" s="6"/>
      <c r="N1" s="6"/>
      <c r="P1" s="2"/>
      <c r="Q1" s="3"/>
      <c r="R1" s="4"/>
      <c r="S1" s="2"/>
      <c r="T1" s="4"/>
      <c r="U1" s="2"/>
      <c r="V1" s="4"/>
      <c r="W1" s="5"/>
      <c r="X1" s="6"/>
      <c r="Y1" s="6"/>
      <c r="Z1" s="6"/>
      <c r="AA1" s="6"/>
      <c r="AB1" s="6"/>
    </row>
    <row r="2" spans="1:42" s="9" customFormat="1" ht="33" customHeight="1" x14ac:dyDescent="0.25">
      <c r="A2" s="8"/>
      <c r="C2" s="263" t="s">
        <v>66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</row>
    <row r="3" spans="1:42" ht="24" customHeight="1" x14ac:dyDescent="0.3">
      <c r="A3" s="1"/>
      <c r="B3" s="10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Q3" s="7"/>
      <c r="R3" s="7"/>
      <c r="T3" s="7"/>
      <c r="U3" s="10"/>
      <c r="V3" s="10"/>
      <c r="W3" s="10"/>
      <c r="X3" s="10"/>
      <c r="Y3" s="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</row>
    <row r="4" spans="1:42" s="10" customFormat="1" ht="18.75" customHeight="1" x14ac:dyDescent="0.25">
      <c r="A4" s="2"/>
      <c r="C4" s="11" t="s">
        <v>0</v>
      </c>
      <c r="D4" s="12"/>
      <c r="E4" s="12"/>
      <c r="F4" s="12"/>
      <c r="G4" s="12"/>
      <c r="H4" s="12"/>
      <c r="I4" s="12"/>
      <c r="J4" s="12"/>
      <c r="K4" s="13"/>
      <c r="L4" s="11" t="s">
        <v>1</v>
      </c>
      <c r="M4" s="12"/>
      <c r="N4" s="14"/>
      <c r="O4" s="14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</row>
    <row r="5" spans="1:42" s="10" customFormat="1" ht="18.75" customHeight="1" x14ac:dyDescent="0.2">
      <c r="A5" s="2"/>
      <c r="C5" s="15"/>
      <c r="D5" s="13"/>
      <c r="E5" s="13"/>
      <c r="F5" s="13"/>
      <c r="G5" s="13"/>
      <c r="H5" s="13"/>
      <c r="I5" s="13"/>
      <c r="J5" s="13"/>
      <c r="K5" s="13"/>
      <c r="L5" s="15"/>
      <c r="M5" s="13"/>
      <c r="AB5" s="167"/>
      <c r="AC5" s="179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</row>
    <row r="6" spans="1:42" ht="24" customHeight="1" x14ac:dyDescent="0.25">
      <c r="A6" s="1"/>
      <c r="B6" s="10"/>
      <c r="C6" s="16" t="s">
        <v>2</v>
      </c>
      <c r="D6" s="16"/>
      <c r="E6" s="16"/>
      <c r="F6" s="16"/>
      <c r="G6" s="16"/>
      <c r="H6" s="16"/>
      <c r="I6" s="16"/>
      <c r="J6" s="17">
        <v>20</v>
      </c>
      <c r="K6" s="18" t="s">
        <v>3</v>
      </c>
      <c r="L6" s="16" t="s">
        <v>4</v>
      </c>
      <c r="M6" s="19"/>
      <c r="N6" s="19"/>
      <c r="O6" s="19"/>
      <c r="P6" s="17">
        <v>160</v>
      </c>
      <c r="Q6" s="285" t="str">
        <f>IF(P6&lt;90,"Příliš malá výška je nižší než  90MM","Správná výška pro tuto konstrukci je  90 - 400MM")</f>
        <v>Správná výška pro tuto konstrukci je  90 - 400MM</v>
      </c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</row>
    <row r="7" spans="1:42" s="22" customFormat="1" ht="22.5" customHeight="1" x14ac:dyDescent="0.25">
      <c r="A7" s="21"/>
      <c r="C7" s="16" t="s">
        <v>5</v>
      </c>
      <c r="D7" s="16"/>
      <c r="E7" s="16"/>
      <c r="F7" s="16"/>
      <c r="G7" s="16"/>
      <c r="H7" s="16"/>
      <c r="I7" s="16"/>
      <c r="J7" s="17">
        <v>60</v>
      </c>
      <c r="L7" s="16" t="s">
        <v>6</v>
      </c>
      <c r="M7" s="19"/>
      <c r="N7" s="19"/>
      <c r="O7" s="19"/>
      <c r="P7" s="17">
        <v>1200</v>
      </c>
      <c r="Q7" s="285" t="str">
        <f>IF(P7&lt;800,"Příliš krátká délka -  je menší než  800mm","Výměník FOXIS se používá v délkách od 800 do 5000 mm")</f>
        <v>Výměník FOXIS se používá v délkách od 800 do 5000 mm</v>
      </c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</row>
    <row r="8" spans="1:42" ht="21.75" customHeight="1" x14ac:dyDescent="0.25">
      <c r="A8" s="1"/>
      <c r="B8" s="10"/>
      <c r="C8" s="16" t="s">
        <v>7</v>
      </c>
      <c r="D8" s="16"/>
      <c r="E8" s="16"/>
      <c r="F8" s="16"/>
      <c r="G8" s="16"/>
      <c r="H8" s="16"/>
      <c r="I8" s="16"/>
      <c r="J8" s="17">
        <v>40</v>
      </c>
      <c r="K8" s="23"/>
      <c r="L8" s="1"/>
      <c r="M8" s="177"/>
      <c r="N8" s="175"/>
      <c r="O8" s="175"/>
      <c r="P8" s="175">
        <f>_xlfn.XLOOKUP(P7, 'FST-N+Q'!L22:AH22, 'FST-N+Q'!L22:AH22, , 1, 1)</f>
        <v>1200</v>
      </c>
      <c r="Q8" s="284" t="str">
        <f>IF(P7&gt;3000,"Na požadovanou délku bude topný schod mít víc lamelových výměníků - je potřeba konzultace !!","")</f>
        <v/>
      </c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190"/>
      <c r="AC8" s="190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</row>
    <row r="9" spans="1:42" ht="21.75" customHeight="1" x14ac:dyDescent="0.25">
      <c r="A9" s="1"/>
      <c r="B9" s="10"/>
      <c r="C9" s="16" t="s">
        <v>71</v>
      </c>
      <c r="D9" s="16"/>
      <c r="E9" s="16"/>
      <c r="F9" s="16"/>
      <c r="G9" s="16"/>
      <c r="H9" s="16"/>
      <c r="I9" s="16"/>
      <c r="J9" s="17">
        <v>650</v>
      </c>
      <c r="K9" s="23"/>
      <c r="L9" s="1"/>
      <c r="M9" s="177"/>
      <c r="N9" s="175"/>
      <c r="O9" s="175"/>
      <c r="P9" s="175" cm="1">
        <f t="array" ref="P9">_xlfn.XMATCH(FALSE,'FST-N+Q'!L22:AH22&lt;&gt;P8,0,1) + 11</f>
        <v>16</v>
      </c>
      <c r="Q9" s="283" t="str">
        <f>IF(P7&lt;1,"Je potřeba zadat délku schodu","")</f>
        <v/>
      </c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</row>
    <row r="10" spans="1:42" s="28" customFormat="1" ht="21.75" customHeight="1" x14ac:dyDescent="0.25">
      <c r="A10" s="24"/>
      <c r="B10" s="25"/>
      <c r="C10" s="26"/>
      <c r="D10" s="27"/>
      <c r="E10" s="26"/>
      <c r="F10" s="27"/>
      <c r="G10" s="26"/>
      <c r="H10" s="27"/>
      <c r="I10" s="25"/>
      <c r="J10" s="24"/>
      <c r="K10" s="24"/>
      <c r="L10" s="25"/>
      <c r="M10" s="178"/>
      <c r="N10" s="185"/>
      <c r="O10" s="186"/>
      <c r="P10" s="175" cm="1">
        <f t="array" ref="P10">_xlfn.XMATCH(FALSE,ceny!C2:Y2&lt;&gt;P8,0,1) + 2</f>
        <v>7</v>
      </c>
      <c r="Q10" s="283" t="str">
        <f>IF(J8&gt;J7,"Vstupní teplota je nižší než výstupní","")</f>
        <v/>
      </c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</row>
    <row r="11" spans="1:42" ht="18.75" customHeight="1" thickBot="1" x14ac:dyDescent="0.3">
      <c r="A11" s="1"/>
      <c r="B11" s="2"/>
      <c r="C11" s="3"/>
      <c r="D11" s="4"/>
      <c r="E11" s="2"/>
      <c r="F11" s="4"/>
      <c r="G11" s="2"/>
      <c r="H11" s="4"/>
      <c r="I11" s="5"/>
      <c r="J11" s="29"/>
      <c r="K11" s="29"/>
      <c r="L11" s="29"/>
      <c r="M11" s="29"/>
      <c r="N11" s="187"/>
      <c r="O11" s="175"/>
      <c r="P11" s="188"/>
      <c r="Q11" s="185"/>
      <c r="R11" s="189"/>
      <c r="S11" s="188"/>
      <c r="T11" s="4"/>
      <c r="U11" s="2"/>
      <c r="V11" s="4"/>
      <c r="W11" s="5"/>
      <c r="X11" s="29"/>
      <c r="Y11" s="29"/>
      <c r="Z11" s="29"/>
      <c r="AA11" s="29"/>
      <c r="AD11" s="167"/>
      <c r="AE11" s="167"/>
      <c r="AF11" s="167"/>
      <c r="AG11" s="182"/>
      <c r="AH11" s="182"/>
      <c r="AI11" s="182"/>
      <c r="AJ11" s="167"/>
      <c r="AK11" s="167"/>
      <c r="AL11" s="167"/>
      <c r="AM11" s="167"/>
      <c r="AN11" s="167"/>
      <c r="AO11" s="167"/>
      <c r="AP11" s="167"/>
    </row>
    <row r="12" spans="1:42" s="31" customFormat="1" ht="33.75" customHeight="1" thickBot="1" x14ac:dyDescent="0.3">
      <c r="A12" s="34"/>
      <c r="B12" s="279" t="s">
        <v>67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1"/>
      <c r="M12" s="280"/>
      <c r="N12" s="282"/>
      <c r="P12" s="279" t="s">
        <v>68</v>
      </c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2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</row>
    <row r="13" spans="1:42" s="30" customFormat="1" ht="21" customHeight="1" x14ac:dyDescent="0.2">
      <c r="A13" s="32"/>
      <c r="B13" s="274" t="s">
        <v>10</v>
      </c>
      <c r="C13" s="275"/>
      <c r="D13" s="275"/>
      <c r="E13" s="275"/>
      <c r="F13" s="275"/>
      <c r="G13" s="275"/>
      <c r="H13" s="275"/>
      <c r="I13" s="275"/>
      <c r="J13" s="272" t="s">
        <v>11</v>
      </c>
      <c r="K13" s="273"/>
      <c r="L13" s="240" t="s">
        <v>65</v>
      </c>
      <c r="M13" s="264" t="s">
        <v>12</v>
      </c>
      <c r="N13" s="266" t="s">
        <v>72</v>
      </c>
      <c r="O13" s="33"/>
      <c r="P13" s="268" t="s">
        <v>10</v>
      </c>
      <c r="Q13" s="269"/>
      <c r="R13" s="269"/>
      <c r="S13" s="269"/>
      <c r="T13" s="269"/>
      <c r="U13" s="269"/>
      <c r="V13" s="269"/>
      <c r="W13" s="269"/>
      <c r="X13" s="272" t="s">
        <v>11</v>
      </c>
      <c r="Y13" s="286"/>
      <c r="Z13" s="240" t="s">
        <v>65</v>
      </c>
      <c r="AA13" s="264" t="s">
        <v>12</v>
      </c>
      <c r="AB13" s="266" t="s">
        <v>72</v>
      </c>
      <c r="AD13" s="182"/>
      <c r="AE13" s="182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</row>
    <row r="14" spans="1:42" s="30" customFormat="1" ht="14.25" customHeight="1" thickBot="1" x14ac:dyDescent="0.25">
      <c r="A14" s="32"/>
      <c r="B14" s="276"/>
      <c r="C14" s="277"/>
      <c r="D14" s="277"/>
      <c r="E14" s="277"/>
      <c r="F14" s="277"/>
      <c r="G14" s="277"/>
      <c r="H14" s="277"/>
      <c r="I14" s="277"/>
      <c r="J14" s="237">
        <f>P7</f>
        <v>1200</v>
      </c>
      <c r="K14" s="238" t="s">
        <v>63</v>
      </c>
      <c r="L14" s="241" t="s">
        <v>64</v>
      </c>
      <c r="M14" s="265"/>
      <c r="N14" s="267"/>
      <c r="O14" s="33"/>
      <c r="P14" s="270"/>
      <c r="Q14" s="271"/>
      <c r="R14" s="271"/>
      <c r="S14" s="271"/>
      <c r="T14" s="271"/>
      <c r="U14" s="271"/>
      <c r="V14" s="271"/>
      <c r="W14" s="271"/>
      <c r="X14" s="237">
        <f>P7</f>
        <v>1200</v>
      </c>
      <c r="Y14" s="238" t="s">
        <v>63</v>
      </c>
      <c r="Z14" s="241" t="s">
        <v>64</v>
      </c>
      <c r="AA14" s="265"/>
      <c r="AB14" s="267"/>
      <c r="AD14" s="182"/>
      <c r="AE14" s="182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</row>
    <row r="15" spans="1:42" s="31" customFormat="1" ht="21" customHeight="1" thickBot="1" x14ac:dyDescent="0.3">
      <c r="A15" s="34"/>
      <c r="B15" s="35" t="s">
        <v>13</v>
      </c>
      <c r="C15" s="36">
        <v>118</v>
      </c>
      <c r="D15" s="37" t="s">
        <v>14</v>
      </c>
      <c r="E15" s="36">
        <f>$P$6</f>
        <v>160</v>
      </c>
      <c r="F15" s="37" t="s">
        <v>14</v>
      </c>
      <c r="G15" s="236">
        <f>P7</f>
        <v>1200</v>
      </c>
      <c r="H15" s="37" t="s">
        <v>14</v>
      </c>
      <c r="I15" s="36">
        <v>160</v>
      </c>
      <c r="J15" s="287" t="s">
        <v>16</v>
      </c>
      <c r="K15" s="288"/>
      <c r="L15" s="239">
        <f>'FST-N+Q'!L13</f>
        <v>177.93741726958623</v>
      </c>
      <c r="M15" s="39" cm="1">
        <f t="array" aca="1" ref="M15" ca="1">IFERROR(INDIRECT(_xlfn.TEXTJOIN("",TRUE,"'ceny'!",ADDRESS(AI15,$P$10))), "-")</f>
        <v>15480.248256000004</v>
      </c>
      <c r="N15" s="38">
        <f>IFERROR(IF($J$9&lt;&gt;0,L15/$J$9* 100,"-"),"-")</f>
        <v>27.374987272244034</v>
      </c>
      <c r="O15" s="10"/>
      <c r="P15" s="169" t="s">
        <v>17</v>
      </c>
      <c r="Q15" s="62">
        <v>118</v>
      </c>
      <c r="R15" s="63" t="s">
        <v>14</v>
      </c>
      <c r="S15" s="62">
        <f>$P$6</f>
        <v>160</v>
      </c>
      <c r="T15" s="63" t="s">
        <v>14</v>
      </c>
      <c r="U15" s="236">
        <f>$P$7</f>
        <v>1200</v>
      </c>
      <c r="V15" s="63" t="s">
        <v>14</v>
      </c>
      <c r="W15" s="64">
        <v>160</v>
      </c>
      <c r="X15" s="289" t="s">
        <v>16</v>
      </c>
      <c r="Y15" s="290"/>
      <c r="Z15" s="65">
        <f>'FST-N+Q'!L17</f>
        <v>507.92936556103848</v>
      </c>
      <c r="AA15" s="66" cm="1">
        <f t="array" aca="1" ref="AA15" ca="1">IFERROR(INDIRECT(_xlfn.TEXTJOIN("",TRUE,"'ceny_ventil'!",ADDRESS(AM15,$P$10))),"-")</f>
        <v>20803.837823999998</v>
      </c>
      <c r="AB15" s="65">
        <f>IFERROR(IF($J$9&lt;&gt;0,Z15/$J$9* 100,"-"),"-")</f>
        <v>78.142979317082833</v>
      </c>
      <c r="AC15" s="20" t="str">
        <f>IF($P$6&lt;&gt;150, "nutná výška 150mm", "")</f>
        <v>nutná výška 150mm</v>
      </c>
      <c r="AD15" s="173"/>
      <c r="AE15" s="173"/>
      <c r="AF15" s="174"/>
      <c r="AG15" s="174"/>
      <c r="AH15" s="174"/>
      <c r="AI15" s="174" cm="1">
        <f t="array" ref="AI15">_xlfn.XMATCH(FALSE,ceny!$B$3:$B$52&lt;&gt;_xlfn.TEXTJOIN("",FALSE,B15:C15,),0,1) + 2</f>
        <v>3</v>
      </c>
      <c r="AJ15" s="174"/>
      <c r="AK15" s="174"/>
      <c r="AL15" s="174"/>
      <c r="AM15" s="174" cm="1">
        <f t="array" ref="AM15">_xlfn.XMATCH(FALSE,ceny_ventil!$B$3:$B$51&lt;&gt;_xlfn.TEXTJOIN("",FALSE,P15:Q15,),0,1) + 2</f>
        <v>3</v>
      </c>
      <c r="AN15" s="174"/>
      <c r="AO15" s="174"/>
      <c r="AP15" s="174"/>
    </row>
    <row r="16" spans="1:42" s="31" customFormat="1" ht="21" customHeight="1" thickBot="1" x14ac:dyDescent="0.3">
      <c r="A16" s="34"/>
      <c r="B16" s="35" t="s">
        <v>13</v>
      </c>
      <c r="C16" s="36">
        <v>218</v>
      </c>
      <c r="D16" s="37" t="s">
        <v>14</v>
      </c>
      <c r="E16" s="36">
        <f t="shared" ref="E16:E17" si="0">$P$6</f>
        <v>160</v>
      </c>
      <c r="F16" s="37" t="s">
        <v>14</v>
      </c>
      <c r="G16" s="236">
        <f>$P$7</f>
        <v>1200</v>
      </c>
      <c r="H16" s="37" t="s">
        <v>14</v>
      </c>
      <c r="I16" s="36">
        <v>240</v>
      </c>
      <c r="J16" s="291" t="s">
        <v>18</v>
      </c>
      <c r="K16" s="292"/>
      <c r="L16" s="38">
        <f>'FST-N+Q'!L14</f>
        <v>332.74297029412628</v>
      </c>
      <c r="M16" s="39" cm="1">
        <f t="array" aca="1" ref="M16" ca="1">IFERROR(INDIRECT(_xlfn.TEXTJOIN("",TRUE,"'ceny'!",ADDRESS(AI16,$P$10))), "-")</f>
        <v>20553.167448000004</v>
      </c>
      <c r="N16" s="38">
        <f t="shared" ref="N16:N17" si="1">IFERROR(IF($J$9&lt;&gt;0,L16/$J$9* 100,"-"),"-")</f>
        <v>51.191226199096349</v>
      </c>
      <c r="O16" s="40"/>
      <c r="P16" s="169" t="s">
        <v>17</v>
      </c>
      <c r="Q16" s="62">
        <v>218</v>
      </c>
      <c r="R16" s="63" t="s">
        <v>14</v>
      </c>
      <c r="S16" s="62">
        <f t="shared" ref="S16:S17" si="2">$P$6</f>
        <v>160</v>
      </c>
      <c r="T16" s="63" t="s">
        <v>14</v>
      </c>
      <c r="U16" s="236">
        <f t="shared" ref="U16:U17" si="3">$P$7</f>
        <v>1200</v>
      </c>
      <c r="V16" s="63" t="s">
        <v>14</v>
      </c>
      <c r="W16" s="64">
        <v>240</v>
      </c>
      <c r="X16" s="289" t="s">
        <v>18</v>
      </c>
      <c r="Y16" s="290"/>
      <c r="Z16" s="65">
        <f>'FST-N+Q'!L18</f>
        <v>596.62450666435575</v>
      </c>
      <c r="AA16" s="66" cm="1">
        <f t="array" aca="1" ref="AA16" ca="1">IFERROR(INDIRECT(_xlfn.TEXTJOIN("",TRUE,"'ceny_ventil'!",ADDRESS(AM16,$P$10))),"-")</f>
        <v>25876.757016000007</v>
      </c>
      <c r="AB16" s="65">
        <f t="shared" ref="AB16:AB17" si="4">IFERROR(IF($J$9&lt;&gt;0,Z16/$J$9* 100,"-"),"-")</f>
        <v>91.788385640670114</v>
      </c>
      <c r="AC16" s="20" t="str">
        <f>IF($P$6&lt;&gt;150, "nutná výška 150mm", "")</f>
        <v>nutná výška 150mm</v>
      </c>
      <c r="AD16" s="173"/>
      <c r="AE16" s="173"/>
      <c r="AF16" s="174"/>
      <c r="AG16" s="174"/>
      <c r="AH16" s="174"/>
      <c r="AI16" s="174" cm="1">
        <f t="array" ref="AI16">_xlfn.XMATCH(FALSE,ceny!$B$3:$B$52&lt;&gt;_xlfn.TEXTJOIN("",FALSE,B16:C16,),0,1) + 2</f>
        <v>4</v>
      </c>
      <c r="AJ16" s="174"/>
      <c r="AK16" s="174"/>
      <c r="AL16" s="174"/>
      <c r="AM16" s="174" cm="1">
        <f t="array" ref="AM16">_xlfn.XMATCH(FALSE,ceny_ventil!$B$3:$B$51&lt;&gt;_xlfn.TEXTJOIN("",FALSE,P16:Q16,),0,1) + 2</f>
        <v>4</v>
      </c>
      <c r="AN16" s="174"/>
      <c r="AO16" s="174"/>
      <c r="AP16" s="174"/>
    </row>
    <row r="17" spans="1:42" s="31" customFormat="1" ht="21" customHeight="1" thickBot="1" x14ac:dyDescent="0.3">
      <c r="A17" s="34"/>
      <c r="B17" s="35" t="s">
        <v>13</v>
      </c>
      <c r="C17" s="36">
        <v>318</v>
      </c>
      <c r="D17" s="37" t="s">
        <v>14</v>
      </c>
      <c r="E17" s="36">
        <f t="shared" si="0"/>
        <v>160</v>
      </c>
      <c r="F17" s="37" t="s">
        <v>14</v>
      </c>
      <c r="G17" s="236">
        <f>$P$7</f>
        <v>1200</v>
      </c>
      <c r="H17" s="37" t="s">
        <v>14</v>
      </c>
      <c r="I17" s="36">
        <v>300</v>
      </c>
      <c r="J17" s="291" t="s">
        <v>19</v>
      </c>
      <c r="K17" s="292"/>
      <c r="L17" s="38">
        <f>'FST-N+Q'!L15</f>
        <v>419.93230475622352</v>
      </c>
      <c r="M17" s="39" cm="1">
        <f t="array" aca="1" ref="M17" ca="1">IFERROR(INDIRECT(_xlfn.TEXTJOIN("",TRUE,"'ceny'!",ADDRESS(AI17,$P$10))), "-")</f>
        <v>23590.066104000001</v>
      </c>
      <c r="N17" s="38">
        <f t="shared" si="1"/>
        <v>64.604969962495929</v>
      </c>
      <c r="O17" s="10"/>
      <c r="P17" s="169" t="s">
        <v>17</v>
      </c>
      <c r="Q17" s="62">
        <v>318</v>
      </c>
      <c r="R17" s="63" t="s">
        <v>14</v>
      </c>
      <c r="S17" s="62">
        <f t="shared" si="2"/>
        <v>160</v>
      </c>
      <c r="T17" s="63" t="s">
        <v>14</v>
      </c>
      <c r="U17" s="236">
        <f t="shared" si="3"/>
        <v>1200</v>
      </c>
      <c r="V17" s="63" t="s">
        <v>14</v>
      </c>
      <c r="W17" s="64">
        <v>300</v>
      </c>
      <c r="X17" s="289" t="s">
        <v>19</v>
      </c>
      <c r="Y17" s="290"/>
      <c r="Z17" s="65">
        <f>'FST-N+Q'!L19</f>
        <v>761.63513861131639</v>
      </c>
      <c r="AA17" s="66" cm="1">
        <f t="array" aca="1" ref="AA17" ca="1">IFERROR(INDIRECT(_xlfn.TEXTJOIN("",TRUE,"'ceny_ventil'!",ADDRESS(AM17,$P$10))),"-")</f>
        <v>34237.245240000004</v>
      </c>
      <c r="AB17" s="65">
        <f t="shared" si="4"/>
        <v>117.17463670943329</v>
      </c>
      <c r="AC17" s="20" t="str">
        <f>IF($P$6&lt;&gt;150, "nutná výška 150mm", "")</f>
        <v>nutná výška 150mm</v>
      </c>
      <c r="AD17" s="173"/>
      <c r="AE17" s="173"/>
      <c r="AF17" s="174"/>
      <c r="AG17" s="174"/>
      <c r="AH17" s="174"/>
      <c r="AI17" s="174" cm="1">
        <f t="array" ref="AI17">_xlfn.XMATCH(FALSE,ceny!$B$3:$B$52&lt;&gt;_xlfn.TEXTJOIN("",FALSE,B17:C17,),0,1) + 2</f>
        <v>5</v>
      </c>
      <c r="AJ17" s="174"/>
      <c r="AK17" s="174"/>
      <c r="AL17" s="174"/>
      <c r="AM17" s="174" cm="1">
        <f t="array" ref="AM17">_xlfn.XMATCH(FALSE,ceny_ventil!$B$3:$B$51&lt;&gt;_xlfn.TEXTJOIN("",FALSE,P17:Q17,),0,1) + 2</f>
        <v>5</v>
      </c>
      <c r="AN17" s="174"/>
      <c r="AO17" s="174"/>
      <c r="AP17" s="174"/>
    </row>
    <row r="18" spans="1:42" ht="34.5" customHeight="1" thickBot="1" x14ac:dyDescent="0.25">
      <c r="A18" s="1"/>
      <c r="B18" s="41"/>
      <c r="C18" s="42"/>
      <c r="D18" s="43"/>
      <c r="E18" s="42"/>
      <c r="F18" s="43"/>
      <c r="G18" s="42"/>
      <c r="H18" s="43"/>
      <c r="I18" s="42"/>
      <c r="J18" s="44"/>
      <c r="K18" s="44"/>
      <c r="L18" s="45"/>
      <c r="M18" s="45"/>
      <c r="N18" s="45"/>
      <c r="O18" s="40"/>
      <c r="P18" s="67"/>
      <c r="Q18" s="68"/>
      <c r="R18" s="69"/>
      <c r="S18" s="68"/>
      <c r="T18" s="69"/>
      <c r="U18" s="68"/>
      <c r="V18" s="69"/>
      <c r="W18" s="68"/>
      <c r="X18" s="70"/>
      <c r="Y18" s="70"/>
      <c r="Z18" s="71"/>
      <c r="AA18" s="71"/>
      <c r="AB18" s="71"/>
      <c r="AC18" s="40"/>
      <c r="AD18" s="173"/>
      <c r="AE18" s="173"/>
      <c r="AF18" s="174"/>
      <c r="AG18" s="174"/>
      <c r="AH18" s="175"/>
      <c r="AI18" s="174" cm="1">
        <f t="array" ref="AI18">_xlfn.XMATCH(FALSE,ceny!$B$3:$B$52&lt;&gt;_xlfn.TEXTJOIN("",FALSE,B18:C18,),0,1) + 2</f>
        <v>14</v>
      </c>
      <c r="AJ18" s="174"/>
      <c r="AK18" s="174"/>
      <c r="AL18" s="175"/>
      <c r="AM18" s="174" cm="1">
        <f t="array" ref="AM18">_xlfn.XMATCH(FALSE,ceny_ventil!$B$3:$B$51&lt;&gt;_xlfn.TEXTJOIN("",FALSE,P18:Q18,),0,1) + 2</f>
        <v>14</v>
      </c>
      <c r="AN18" s="175"/>
      <c r="AO18" s="175"/>
      <c r="AP18" s="175"/>
    </row>
    <row r="19" spans="1:42" s="31" customFormat="1" ht="39" customHeight="1" thickBot="1" x14ac:dyDescent="0.3">
      <c r="A19" s="34"/>
      <c r="B19" s="293" t="s">
        <v>69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5"/>
      <c r="O19" s="40"/>
      <c r="P19" s="296" t="s">
        <v>70</v>
      </c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8"/>
      <c r="AD19" s="173"/>
      <c r="AE19" s="173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</row>
    <row r="20" spans="1:42" s="30" customFormat="1" ht="21" customHeight="1" x14ac:dyDescent="0.2">
      <c r="A20" s="32"/>
      <c r="B20" s="268" t="s">
        <v>10</v>
      </c>
      <c r="C20" s="269"/>
      <c r="D20" s="269"/>
      <c r="E20" s="269"/>
      <c r="F20" s="269"/>
      <c r="G20" s="269"/>
      <c r="H20" s="269"/>
      <c r="I20" s="269"/>
      <c r="J20" s="272" t="s">
        <v>11</v>
      </c>
      <c r="K20" s="273"/>
      <c r="L20" s="240" t="s">
        <v>65</v>
      </c>
      <c r="M20" s="264" t="s">
        <v>12</v>
      </c>
      <c r="N20" s="266" t="s">
        <v>72</v>
      </c>
      <c r="O20" s="33"/>
      <c r="P20" s="268" t="s">
        <v>10</v>
      </c>
      <c r="Q20" s="269"/>
      <c r="R20" s="269"/>
      <c r="S20" s="269"/>
      <c r="T20" s="269"/>
      <c r="U20" s="269"/>
      <c r="V20" s="269"/>
      <c r="W20" s="269"/>
      <c r="X20" s="272" t="s">
        <v>11</v>
      </c>
      <c r="Y20" s="273"/>
      <c r="Z20" s="240" t="s">
        <v>65</v>
      </c>
      <c r="AA20" s="264" t="s">
        <v>12</v>
      </c>
      <c r="AB20" s="266" t="s">
        <v>72</v>
      </c>
      <c r="AD20" s="182"/>
      <c r="AE20" s="182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</row>
    <row r="21" spans="1:42" s="30" customFormat="1" ht="14.25" customHeight="1" thickBot="1" x14ac:dyDescent="0.25">
      <c r="A21" s="32"/>
      <c r="B21" s="270"/>
      <c r="C21" s="271"/>
      <c r="D21" s="271"/>
      <c r="E21" s="271"/>
      <c r="F21" s="271"/>
      <c r="G21" s="271"/>
      <c r="H21" s="271"/>
      <c r="I21" s="271"/>
      <c r="J21" s="237">
        <f>P7</f>
        <v>1200</v>
      </c>
      <c r="K21" s="238" t="s">
        <v>63</v>
      </c>
      <c r="L21" s="241" t="s">
        <v>64</v>
      </c>
      <c r="M21" s="265"/>
      <c r="N21" s="267"/>
      <c r="O21" s="33"/>
      <c r="P21" s="270"/>
      <c r="Q21" s="271"/>
      <c r="R21" s="271"/>
      <c r="S21" s="271"/>
      <c r="T21" s="271"/>
      <c r="U21" s="271"/>
      <c r="V21" s="271"/>
      <c r="W21" s="271"/>
      <c r="X21" s="237">
        <f>P7</f>
        <v>1200</v>
      </c>
      <c r="Y21" s="238" t="s">
        <v>63</v>
      </c>
      <c r="Z21" s="241" t="s">
        <v>64</v>
      </c>
      <c r="AA21" s="265"/>
      <c r="AB21" s="267"/>
      <c r="AD21" s="182"/>
      <c r="AE21" s="182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</row>
    <row r="22" spans="1:42" s="31" customFormat="1" ht="21" customHeight="1" thickBot="1" x14ac:dyDescent="0.3">
      <c r="A22" s="34"/>
      <c r="B22" s="46" t="s">
        <v>13</v>
      </c>
      <c r="C22" s="36">
        <v>510</v>
      </c>
      <c r="D22" s="37" t="s">
        <v>14</v>
      </c>
      <c r="E22" s="36">
        <v>95</v>
      </c>
      <c r="F22" s="37" t="s">
        <v>14</v>
      </c>
      <c r="G22" s="236">
        <f>$P$7</f>
        <v>1200</v>
      </c>
      <c r="H22" s="37" t="s">
        <v>14</v>
      </c>
      <c r="I22" s="36">
        <v>160</v>
      </c>
      <c r="J22" s="291" t="s">
        <v>20</v>
      </c>
      <c r="K22" s="292"/>
      <c r="L22" s="38" cm="1">
        <f t="array" aca="1" ref="L22" ca="1">INDIRECT(_xlfn.TEXTJOIN("",TRUE,"'FST-N+Q'!",ADDRESS(23,$P$9)))</f>
        <v>188.743343178575</v>
      </c>
      <c r="M22" s="39" cm="1">
        <f t="array" aca="1" ref="M22" ca="1">IFERROR(INDIRECT(_xlfn.TEXTJOIN("",TRUE,"'ceny'!",ADDRESS(AI22,$P$10))),"-")</f>
        <v>14404.529700000001</v>
      </c>
      <c r="N22" s="38">
        <f ca="1">IFERROR(IF($J$9&lt;&gt;0,L22/$J$9* 100,"-"),"-")</f>
        <v>29.037437412088462</v>
      </c>
      <c r="O22" s="10"/>
      <c r="P22" s="168" t="s">
        <v>17</v>
      </c>
      <c r="Q22" s="72">
        <v>510</v>
      </c>
      <c r="R22" s="73" t="s">
        <v>14</v>
      </c>
      <c r="S22" s="72">
        <v>95</v>
      </c>
      <c r="T22" s="73" t="s">
        <v>14</v>
      </c>
      <c r="U22" s="236">
        <f t="shared" ref="U22:U29" si="5">$P$7</f>
        <v>1200</v>
      </c>
      <c r="V22" s="73" t="s">
        <v>14</v>
      </c>
      <c r="W22" s="72">
        <v>160</v>
      </c>
      <c r="X22" s="299" t="s">
        <v>20</v>
      </c>
      <c r="Y22" s="300"/>
      <c r="Z22" s="74" cm="1">
        <f t="array" aca="1" ref="Z22" ca="1">INDIRECT(_xlfn.TEXTJOIN("",TRUE,"'FST-N+Q'!",ADDRESS(32,$P$9)))</f>
        <v>538.77530665355539</v>
      </c>
      <c r="AA22" s="66" cm="1">
        <f t="array" aca="1" ref="AA22" ca="1">IFERROR(INDIRECT(_xlfn.TEXTJOIN("",TRUE,"'ceny_ventil'!",ADDRESS(AM22,$P$10))),"-")</f>
        <v>20262.191439600003</v>
      </c>
      <c r="AB22" s="65">
        <f ca="1">IFERROR(IF($J$9&lt;&gt;0,Z22/$J$9* 100,"-"),"-")</f>
        <v>82.888508715931593</v>
      </c>
      <c r="AC22" s="20" t="str">
        <f>IF($P$6&lt;&gt;130, "nutná výška 130mm", "")</f>
        <v>nutná výška 130mm</v>
      </c>
      <c r="AD22" s="173"/>
      <c r="AE22" s="173"/>
      <c r="AF22" s="174"/>
      <c r="AG22" s="174"/>
      <c r="AH22" s="174"/>
      <c r="AI22" s="174" cm="1">
        <f t="array" ref="AI22">_xlfn.XMATCH(FALSE,ceny!$B$3:$B$52&lt;&gt;_xlfn.TEXTJOIN("",FALSE,B22:C22,),0,1) + 2</f>
        <v>6</v>
      </c>
      <c r="AJ22" s="174"/>
      <c r="AK22" s="174"/>
      <c r="AL22" s="174"/>
      <c r="AM22" s="174" cm="1">
        <f t="array" ref="AM22">_xlfn.XMATCH(FALSE,ceny_ventil!$B$3:$B$51&lt;&gt;_xlfn.TEXTJOIN("",FALSE,P22:Q22,),0,1) + 2</f>
        <v>6</v>
      </c>
      <c r="AN22" s="174"/>
      <c r="AO22" s="174"/>
      <c r="AP22" s="174"/>
    </row>
    <row r="23" spans="1:42" s="31" customFormat="1" ht="21" customHeight="1" thickBot="1" x14ac:dyDescent="0.3">
      <c r="A23" s="34"/>
      <c r="B23" s="47" t="s">
        <v>13</v>
      </c>
      <c r="C23" s="36">
        <v>1010</v>
      </c>
      <c r="D23" s="37" t="s">
        <v>14</v>
      </c>
      <c r="E23" s="36">
        <v>95</v>
      </c>
      <c r="F23" s="37" t="s">
        <v>14</v>
      </c>
      <c r="G23" s="236">
        <f t="shared" ref="G23:G29" si="6">$P$7</f>
        <v>1200</v>
      </c>
      <c r="H23" s="37" t="s">
        <v>14</v>
      </c>
      <c r="I23" s="36">
        <v>160</v>
      </c>
      <c r="J23" s="291" t="s">
        <v>21</v>
      </c>
      <c r="K23" s="292"/>
      <c r="L23" s="38" cm="1">
        <f t="array" aca="1" ref="L23" ca="1">INDIRECT(_xlfn.TEXTJOIN("",TRUE,"'FST-N+Q'!",ADDRESS(24,$P$9)))</f>
        <v>245.36634613214753</v>
      </c>
      <c r="M23" s="39" cm="1">
        <f t="array" aca="1" ref="M23" ca="1">IFERROR(INDIRECT(_xlfn.TEXTJOIN("",TRUE,"'ceny'!",ADDRESS(AI23,$P$10))),"-")</f>
        <v>16005.033000000003</v>
      </c>
      <c r="N23" s="38">
        <f t="shared" ref="N23" ca="1" si="7">IFERROR(IF($J$9&lt;&gt;0,L23/$J$9* 100,"-"),"-")</f>
        <v>37.748668635715006</v>
      </c>
      <c r="O23" s="10"/>
      <c r="P23" s="169" t="s">
        <v>17</v>
      </c>
      <c r="Q23" s="62">
        <v>1010</v>
      </c>
      <c r="R23" s="63" t="s">
        <v>14</v>
      </c>
      <c r="S23" s="62">
        <v>95</v>
      </c>
      <c r="T23" s="63" t="s">
        <v>14</v>
      </c>
      <c r="U23" s="236">
        <f t="shared" si="5"/>
        <v>1200</v>
      </c>
      <c r="V23" s="63" t="s">
        <v>14</v>
      </c>
      <c r="W23" s="64">
        <v>160</v>
      </c>
      <c r="X23" s="301" t="s">
        <v>21</v>
      </c>
      <c r="Y23" s="302"/>
      <c r="Z23" s="74" cm="1">
        <f t="array" aca="1" ref="Z23" ca="1">INDIRECT(_xlfn.TEXTJOIN("",TRUE,"'FST-N+Q'!",ADDRESS(33,$P$9)))</f>
        <v>700.40789864962198</v>
      </c>
      <c r="AA23" s="66" cm="1">
        <f t="array" aca="1" ref="AA23" ca="1">IFERROR(INDIRECT(_xlfn.TEXTJOIN("",TRUE,"'ceny_ventil'!",ADDRESS(AM23,$P$10))),"-")</f>
        <v>21328.622567999999</v>
      </c>
      <c r="AB23" s="65">
        <f t="shared" ref="AB23:AB29" ca="1" si="8">IFERROR(IF($J$9&lt;&gt;0,Z23/$J$9* 100,"-"),"-")</f>
        <v>107.75506133071107</v>
      </c>
      <c r="AC23" s="20" t="str">
        <f>IF($P$6&lt;&gt;180, "nutná výška 180mm", "")</f>
        <v>nutná výška 180mm</v>
      </c>
      <c r="AD23" s="167"/>
      <c r="AE23" s="183"/>
      <c r="AF23" s="175"/>
      <c r="AG23" s="174"/>
      <c r="AH23" s="174"/>
      <c r="AI23" s="174" cm="1">
        <f t="array" ref="AI23">_xlfn.XMATCH(FALSE,ceny!$B$3:$B$52&lt;&gt;_xlfn.TEXTJOIN("",FALSE,B23:C23,),0,1) + 2</f>
        <v>10</v>
      </c>
      <c r="AJ23" s="175"/>
      <c r="AK23" s="174"/>
      <c r="AL23" s="174"/>
      <c r="AM23" s="174" cm="1">
        <f t="array" ref="AM23">_xlfn.XMATCH(FALSE,ceny_ventil!$B$3:$B$51&lt;&gt;_xlfn.TEXTJOIN("",FALSE,P23:Q23,),0,1) + 2</f>
        <v>10</v>
      </c>
      <c r="AN23" s="174"/>
      <c r="AO23" s="174"/>
      <c r="AP23" s="174"/>
    </row>
    <row r="24" spans="1:42" s="49" customFormat="1" ht="21" customHeight="1" thickBot="1" x14ac:dyDescent="0.3">
      <c r="A24" s="48"/>
      <c r="B24" s="46" t="s">
        <v>13</v>
      </c>
      <c r="C24" s="36">
        <v>515</v>
      </c>
      <c r="D24" s="37" t="s">
        <v>14</v>
      </c>
      <c r="E24" s="36">
        <v>95</v>
      </c>
      <c r="F24" s="37" t="s">
        <v>14</v>
      </c>
      <c r="G24" s="236">
        <f t="shared" si="6"/>
        <v>1200</v>
      </c>
      <c r="H24" s="37" t="s">
        <v>14</v>
      </c>
      <c r="I24" s="36">
        <v>240</v>
      </c>
      <c r="J24" s="291" t="s">
        <v>59</v>
      </c>
      <c r="K24" s="292"/>
      <c r="L24" s="38" cm="1">
        <f t="array" aca="1" ref="L24" ca="1">INDIRECT(_xlfn.TEXTJOIN("",TRUE,"'FST-N+Q'!",ADDRESS(25,$P$9)))</f>
        <v>371.31968013599669</v>
      </c>
      <c r="M24" s="39" cm="1">
        <f t="array" aca="1" ref="M24" ca="1">IFERROR(INDIRECT(_xlfn.TEXTJOIN("",TRUE,"'ceny'!",ADDRESS(AI24,$P$10))),"-")</f>
        <v>17252.974728000001</v>
      </c>
      <c r="N24" s="38">
        <f t="shared" ref="N24:N27" ca="1" si="9">IFERROR(IF($J$9&lt;&gt;0,L24/$J$9* 100,"-"),"-")</f>
        <v>57.126104636307183</v>
      </c>
      <c r="O24" s="10"/>
      <c r="P24" s="169" t="s">
        <v>17</v>
      </c>
      <c r="Q24" s="62">
        <v>515</v>
      </c>
      <c r="R24" s="63" t="s">
        <v>14</v>
      </c>
      <c r="S24" s="62">
        <v>95</v>
      </c>
      <c r="T24" s="63" t="s">
        <v>14</v>
      </c>
      <c r="U24" s="236">
        <f t="shared" si="5"/>
        <v>1200</v>
      </c>
      <c r="V24" s="63" t="s">
        <v>14</v>
      </c>
      <c r="W24" s="62">
        <v>240</v>
      </c>
      <c r="X24" s="301" t="s">
        <v>59</v>
      </c>
      <c r="Y24" s="302"/>
      <c r="Z24" s="74" cm="1">
        <f t="array" aca="1" ref="Z24" ca="1">INDIRECT(_xlfn.TEXTJOIN("",TRUE,"'FST-N+Q'!",ADDRESS(34,$P$9)))</f>
        <v>566.84376723595517</v>
      </c>
      <c r="AA24" s="66" cm="1">
        <f t="array" aca="1" ref="AA24" ca="1">IFERROR(INDIRECT(_xlfn.TEXTJOIN("",TRUE,"'ceny_ventil'!",ADDRESS(AM24,$P$10))),"-")</f>
        <v>23268.883413600004</v>
      </c>
      <c r="AB24" s="65">
        <f t="shared" ref="AB24:AB25" ca="1" si="10">IFERROR(IF($J$9&lt;&gt;0,Z24/$J$9* 100,"-"),"-")</f>
        <v>87.20673342091618</v>
      </c>
      <c r="AC24" s="20" t="str">
        <f>IF($P$6&lt;&gt;130, "nutná výška 130mm", "")</f>
        <v>nutná výška 130mm</v>
      </c>
      <c r="AD24" s="167"/>
      <c r="AE24" s="167"/>
      <c r="AF24" s="175"/>
      <c r="AG24" s="174"/>
      <c r="AH24" s="175"/>
      <c r="AI24" s="174" cm="1">
        <f t="array" ref="AI24">_xlfn.XMATCH(FALSE,ceny!$B$3:$B$52&lt;&gt;_xlfn.TEXTJOIN("",FALSE,B24:C24,),0,1) + 2</f>
        <v>7</v>
      </c>
      <c r="AJ24" s="175"/>
      <c r="AK24" s="174"/>
      <c r="AL24" s="175"/>
      <c r="AM24" s="174" cm="1">
        <f t="array" ref="AM24">_xlfn.XMATCH(FALSE,ceny_ventil!$B$3:$B$51&lt;&gt;_xlfn.TEXTJOIN("",FALSE,P24:Q24,),0,1) + 2</f>
        <v>7</v>
      </c>
      <c r="AN24" s="175"/>
      <c r="AO24" s="175"/>
      <c r="AP24" s="175"/>
    </row>
    <row r="25" spans="1:42" s="30" customFormat="1" ht="21" customHeight="1" thickBot="1" x14ac:dyDescent="0.3">
      <c r="A25" s="32"/>
      <c r="B25" s="46" t="s">
        <v>13</v>
      </c>
      <c r="C25" s="36">
        <v>1015</v>
      </c>
      <c r="D25" s="37" t="s">
        <v>14</v>
      </c>
      <c r="E25" s="36">
        <v>95</v>
      </c>
      <c r="F25" s="37" t="s">
        <v>14</v>
      </c>
      <c r="G25" s="236">
        <f t="shared" si="6"/>
        <v>1200</v>
      </c>
      <c r="H25" s="37" t="s">
        <v>14</v>
      </c>
      <c r="I25" s="36">
        <v>240</v>
      </c>
      <c r="J25" s="291" t="s">
        <v>60</v>
      </c>
      <c r="K25" s="292"/>
      <c r="L25" s="38" cm="1">
        <f t="array" aca="1" ref="L25" ca="1">INDIRECT(_xlfn.TEXTJOIN("",TRUE,"'FST-N+Q'!",ADDRESS(26,$P$9)))</f>
        <v>423.30443535503616</v>
      </c>
      <c r="M25" s="39" cm="1">
        <f t="array" aca="1" ref="M25" ca="1">IFERROR(INDIRECT(_xlfn.TEXTJOIN("",TRUE,"'ceny'!",ADDRESS(AI25,$P$10))),"-")</f>
        <v>19169.971920000004</v>
      </c>
      <c r="N25" s="38">
        <f t="shared" ca="1" si="9"/>
        <v>65.123759285390179</v>
      </c>
      <c r="O25" s="33"/>
      <c r="P25" s="169" t="s">
        <v>17</v>
      </c>
      <c r="Q25" s="62">
        <v>1015</v>
      </c>
      <c r="R25" s="63" t="s">
        <v>14</v>
      </c>
      <c r="S25" s="62">
        <v>95</v>
      </c>
      <c r="T25" s="63" t="s">
        <v>14</v>
      </c>
      <c r="U25" s="236">
        <f t="shared" si="5"/>
        <v>1200</v>
      </c>
      <c r="V25" s="63" t="s">
        <v>14</v>
      </c>
      <c r="W25" s="64">
        <v>240</v>
      </c>
      <c r="X25" s="301" t="s">
        <v>60</v>
      </c>
      <c r="Y25" s="302"/>
      <c r="Z25" s="74" cm="1">
        <f t="array" aca="1" ref="Z25" ca="1">INDIRECT(_xlfn.TEXTJOIN("",TRUE,"'FST-N+Q'!",ADDRESS(35,$P$9)))</f>
        <v>736.8968974067418</v>
      </c>
      <c r="AA25" s="66" cm="1">
        <f t="array" aca="1" ref="AA25" ca="1">IFERROR(INDIRECT(_xlfn.TEXTJOIN("",TRUE,"'ceny_ventil'!",ADDRESS(AM25,$P$10))),"-")</f>
        <v>24493.561487999999</v>
      </c>
      <c r="AB25" s="65">
        <f t="shared" ca="1" si="10"/>
        <v>113.36875344719104</v>
      </c>
      <c r="AC25" s="20" t="str">
        <f>IF($P$6&lt;&gt;180, "nutná výška 180mm", "")</f>
        <v>nutná výška 180mm</v>
      </c>
      <c r="AD25" s="182"/>
      <c r="AE25" s="183"/>
      <c r="AF25" s="176"/>
      <c r="AG25" s="174"/>
      <c r="AH25" s="176"/>
      <c r="AI25" s="174" cm="1">
        <f t="array" ref="AI25">_xlfn.XMATCH(FALSE,ceny!$B$3:$B$52&lt;&gt;_xlfn.TEXTJOIN("",FALSE,B25:C25,),0,1) + 2</f>
        <v>11</v>
      </c>
      <c r="AJ25" s="176"/>
      <c r="AK25" s="174"/>
      <c r="AL25" s="176"/>
      <c r="AM25" s="174" cm="1">
        <f t="array" ref="AM25">_xlfn.XMATCH(FALSE,ceny_ventil!$B$3:$B$51&lt;&gt;_xlfn.TEXTJOIN("",FALSE,P25:Q25,),0,1) + 2</f>
        <v>11</v>
      </c>
      <c r="AN25" s="176"/>
      <c r="AO25" s="176"/>
      <c r="AP25" s="176"/>
    </row>
    <row r="26" spans="1:42" s="49" customFormat="1" ht="21" customHeight="1" thickBot="1" x14ac:dyDescent="0.3">
      <c r="A26" s="48"/>
      <c r="B26" s="46" t="s">
        <v>13</v>
      </c>
      <c r="C26" s="36">
        <v>520</v>
      </c>
      <c r="D26" s="37" t="s">
        <v>14</v>
      </c>
      <c r="E26" s="36">
        <v>95</v>
      </c>
      <c r="F26" s="37" t="s">
        <v>14</v>
      </c>
      <c r="G26" s="236">
        <f t="shared" si="6"/>
        <v>1200</v>
      </c>
      <c r="H26" s="37" t="s">
        <v>14</v>
      </c>
      <c r="I26" s="36">
        <v>240</v>
      </c>
      <c r="J26" s="291" t="s">
        <v>22</v>
      </c>
      <c r="K26" s="292"/>
      <c r="L26" s="38" cm="1">
        <f t="array" aca="1" ref="L26" ca="1">INDIRECT(_xlfn.TEXTJOIN("",TRUE,"'FST-N+Q'!",ADDRESS(27,$P$9)))</f>
        <v>372.93903795666108</v>
      </c>
      <c r="M26" s="39" cm="1">
        <f t="array" aca="1" ref="M26" ca="1">IFERROR(INDIRECT(_xlfn.TEXTJOIN("",TRUE,"'ceny'!",ADDRESS(AI26,$P$10))),"-")</f>
        <v>20101.419756000003</v>
      </c>
      <c r="N26" s="38">
        <f t="shared" ca="1" si="9"/>
        <v>57.375236608717081</v>
      </c>
      <c r="O26" s="10"/>
      <c r="P26" s="169" t="s">
        <v>17</v>
      </c>
      <c r="Q26" s="62">
        <v>520</v>
      </c>
      <c r="R26" s="63" t="s">
        <v>14</v>
      </c>
      <c r="S26" s="62">
        <v>95</v>
      </c>
      <c r="T26" s="63" t="s">
        <v>14</v>
      </c>
      <c r="U26" s="236">
        <f t="shared" si="5"/>
        <v>1200</v>
      </c>
      <c r="V26" s="63" t="s">
        <v>14</v>
      </c>
      <c r="W26" s="62">
        <v>240</v>
      </c>
      <c r="X26" s="301" t="s">
        <v>22</v>
      </c>
      <c r="Y26" s="302"/>
      <c r="Z26" s="74" cm="1">
        <f t="array" aca="1" ref="Z26" ca="1">INDIRECT(_xlfn.TEXTJOIN("",TRUE,"'FST-N+Q'!",ADDRESS(36,$P$9)))</f>
        <v>608.49904385241109</v>
      </c>
      <c r="AA26" s="66" cm="1">
        <f t="array" aca="1" ref="AA26" ca="1">IFERROR(INDIRECT(_xlfn.TEXTJOIN("",TRUE,"'ceny_ventil'!",ADDRESS(AM26,$P$10))),"-")</f>
        <v>26275.575387600005</v>
      </c>
      <c r="AB26" s="65">
        <f t="shared" ca="1" si="8"/>
        <v>93.615237515755553</v>
      </c>
      <c r="AC26" s="20" t="str">
        <f>IF($P$6&lt;&gt;130, "nutná výška 130mm", "")</f>
        <v>nutná výška 130mm</v>
      </c>
      <c r="AD26" s="167"/>
      <c r="AE26" s="167"/>
      <c r="AF26" s="175"/>
      <c r="AG26" s="174"/>
      <c r="AH26" s="175"/>
      <c r="AI26" s="174" cm="1">
        <f t="array" ref="AI26">_xlfn.XMATCH(FALSE,ceny!$B$3:$B$52&lt;&gt;_xlfn.TEXTJOIN("",FALSE,B26:C26,),0,1) + 2</f>
        <v>8</v>
      </c>
      <c r="AJ26" s="175"/>
      <c r="AK26" s="174"/>
      <c r="AL26" s="175"/>
      <c r="AM26" s="174" cm="1">
        <f t="array" ref="AM26">_xlfn.XMATCH(FALSE,ceny_ventil!$B$3:$B$51&lt;&gt;_xlfn.TEXTJOIN("",FALSE,P26:Q26,),0,1) + 2</f>
        <v>8</v>
      </c>
      <c r="AN26" s="175"/>
      <c r="AO26" s="175"/>
      <c r="AP26" s="175"/>
    </row>
    <row r="27" spans="1:42" s="30" customFormat="1" ht="21" customHeight="1" thickBot="1" x14ac:dyDescent="0.3">
      <c r="A27" s="32"/>
      <c r="B27" s="46" t="s">
        <v>13</v>
      </c>
      <c r="C27" s="36">
        <v>1020</v>
      </c>
      <c r="D27" s="37" t="s">
        <v>14</v>
      </c>
      <c r="E27" s="36">
        <v>95</v>
      </c>
      <c r="F27" s="37" t="s">
        <v>14</v>
      </c>
      <c r="G27" s="236">
        <f t="shared" si="6"/>
        <v>1200</v>
      </c>
      <c r="H27" s="37" t="s">
        <v>14</v>
      </c>
      <c r="I27" s="36">
        <v>240</v>
      </c>
      <c r="J27" s="291" t="s">
        <v>23</v>
      </c>
      <c r="K27" s="292"/>
      <c r="L27" s="38" cm="1">
        <f t="array" aca="1" ref="L27" ca="1">INDIRECT(_xlfn.TEXTJOIN("",TRUE,"'FST-N+Q'!",ADDRESS(28,$P$9)))</f>
        <v>484.82074934365943</v>
      </c>
      <c r="M27" s="39" cm="1">
        <f t="array" aca="1" ref="M27" ca="1">IFERROR(INDIRECT(_xlfn.TEXTJOIN("",TRUE,"'ceny'!",ADDRESS(AI27,$P$10))),"-")</f>
        <v>22334.91084</v>
      </c>
      <c r="N27" s="38">
        <f t="shared" ca="1" si="9"/>
        <v>74.587807591332222</v>
      </c>
      <c r="O27" s="33"/>
      <c r="P27" s="169" t="s">
        <v>17</v>
      </c>
      <c r="Q27" s="62">
        <v>1020</v>
      </c>
      <c r="R27" s="63" t="s">
        <v>14</v>
      </c>
      <c r="S27" s="62">
        <v>95</v>
      </c>
      <c r="T27" s="63" t="s">
        <v>14</v>
      </c>
      <c r="U27" s="236">
        <f t="shared" si="5"/>
        <v>1200</v>
      </c>
      <c r="V27" s="63" t="s">
        <v>14</v>
      </c>
      <c r="W27" s="64">
        <v>240</v>
      </c>
      <c r="X27" s="301" t="s">
        <v>23</v>
      </c>
      <c r="Y27" s="302"/>
      <c r="Z27" s="74" cm="1">
        <f t="array" aca="1" ref="Z27" ca="1">INDIRECT(_xlfn.TEXTJOIN("",TRUE,"'FST-N+Q'!",ADDRESS(37,$P$9)))</f>
        <v>791.04875700813443</v>
      </c>
      <c r="AA27" s="66" cm="1">
        <f t="array" aca="1" ref="AA27" ca="1">IFERROR(INDIRECT(_xlfn.TEXTJOIN("",TRUE,"'ceny_ventil'!",ADDRESS(AM27,$P$10))),"-")</f>
        <v>27658.500408</v>
      </c>
      <c r="AB27" s="65">
        <f t="shared" ca="1" si="8"/>
        <v>121.69980877048221</v>
      </c>
      <c r="AC27" s="20" t="str">
        <f>IF($P$6&lt;&gt;180, "nutná výška 180mm", "")</f>
        <v>nutná výška 180mm</v>
      </c>
      <c r="AD27" s="182"/>
      <c r="AE27" s="183"/>
      <c r="AF27" s="176"/>
      <c r="AG27" s="174"/>
      <c r="AH27" s="176"/>
      <c r="AI27" s="174" cm="1">
        <f t="array" ref="AI27">_xlfn.XMATCH(FALSE,ceny!$B$3:$B$52&lt;&gt;_xlfn.TEXTJOIN("",FALSE,B27:C27,),0,1) + 2</f>
        <v>12</v>
      </c>
      <c r="AJ27" s="176"/>
      <c r="AK27" s="174"/>
      <c r="AL27" s="176"/>
      <c r="AM27" s="174" cm="1">
        <f t="array" ref="AM27">_xlfn.XMATCH(FALSE,ceny_ventil!$B$3:$B$51&lt;&gt;_xlfn.TEXTJOIN("",FALSE,P27:Q27,),0,1) + 2</f>
        <v>12</v>
      </c>
      <c r="AN27" s="176"/>
      <c r="AO27" s="176"/>
      <c r="AP27" s="176"/>
    </row>
    <row r="28" spans="1:42" s="30" customFormat="1" ht="21" customHeight="1" thickBot="1" x14ac:dyDescent="0.3">
      <c r="A28" s="32"/>
      <c r="B28" s="47" t="s">
        <v>13</v>
      </c>
      <c r="C28" s="36">
        <v>525</v>
      </c>
      <c r="D28" s="37" t="s">
        <v>14</v>
      </c>
      <c r="E28" s="36">
        <v>95</v>
      </c>
      <c r="F28" s="37" t="s">
        <v>14</v>
      </c>
      <c r="G28" s="236">
        <f t="shared" si="6"/>
        <v>1200</v>
      </c>
      <c r="H28" s="37" t="s">
        <v>14</v>
      </c>
      <c r="I28" s="36">
        <v>300</v>
      </c>
      <c r="J28" s="291" t="s">
        <v>24</v>
      </c>
      <c r="K28" s="292"/>
      <c r="L28" s="38" cm="1">
        <f t="array" aca="1" ref="L28" ca="1">INDIRECT(_xlfn.TEXTJOIN("",TRUE,"'FST-N+Q'!",ADDRESS(29,$P$9)))</f>
        <v>437.60838212102402</v>
      </c>
      <c r="M28" s="39" cm="1">
        <f t="array" aca="1" ref="M28" ca="1">IFERROR(INDIRECT(_xlfn.TEXTJOIN("",TRUE,"'ceny'!",ADDRESS(AI28,$P$10))),"-")</f>
        <v>22988.817878400008</v>
      </c>
      <c r="N28" s="38">
        <f ca="1">IFERROR(IF($J$9&lt;&gt;0,L28/$J$9* 100,"-"),"-")</f>
        <v>67.324366480157536</v>
      </c>
      <c r="O28" s="33"/>
      <c r="P28" s="169" t="s">
        <v>17</v>
      </c>
      <c r="Q28" s="62">
        <v>525</v>
      </c>
      <c r="R28" s="63" t="s">
        <v>14</v>
      </c>
      <c r="S28" s="62">
        <v>95</v>
      </c>
      <c r="T28" s="63" t="s">
        <v>14</v>
      </c>
      <c r="U28" s="236">
        <f t="shared" si="5"/>
        <v>1200</v>
      </c>
      <c r="V28" s="63" t="s">
        <v>14</v>
      </c>
      <c r="W28" s="62">
        <v>300</v>
      </c>
      <c r="X28" s="301" t="s">
        <v>24</v>
      </c>
      <c r="Y28" s="302"/>
      <c r="Z28" s="74" cm="1">
        <f t="array" aca="1" ref="Z28" ca="1">INDIRECT(_xlfn.TEXTJOIN("",TRUE,"'FST-N+Q'!",ADDRESS(38,$P$9)))</f>
        <v>793.69440502511975</v>
      </c>
      <c r="AA28" s="66" cm="1">
        <f t="array" aca="1" ref="AA28" ca="1">IFERROR(INDIRECT(_xlfn.TEXTJOIN("",TRUE,"'ceny_ventil'!",ADDRESS(AM28,$P$10))),"-")</f>
        <v>34380.794606400006</v>
      </c>
      <c r="AB28" s="65">
        <f t="shared" ca="1" si="8"/>
        <v>122.10683154232611</v>
      </c>
      <c r="AC28" s="20" t="str">
        <f>IF($P$6&lt;&gt;130, "nutná výška 130mm", "")</f>
        <v>nutná výška 130mm</v>
      </c>
      <c r="AD28" s="182"/>
      <c r="AE28" s="182"/>
      <c r="AF28" s="176"/>
      <c r="AG28" s="174"/>
      <c r="AH28" s="176"/>
      <c r="AI28" s="174" cm="1">
        <f t="array" ref="AI28">_xlfn.XMATCH(FALSE,ceny!$B$3:$B$52&lt;&gt;_xlfn.TEXTJOIN("",FALSE,B28:C28,),0,1) + 2</f>
        <v>9</v>
      </c>
      <c r="AJ28" s="176"/>
      <c r="AK28" s="174"/>
      <c r="AL28" s="176"/>
      <c r="AM28" s="174" cm="1">
        <f t="array" ref="AM28">_xlfn.XMATCH(FALSE,ceny_ventil!$B$3:$B$51&lt;&gt;_xlfn.TEXTJOIN("",FALSE,P28:Q28,),0,1) + 2</f>
        <v>9</v>
      </c>
      <c r="AN28" s="176"/>
      <c r="AO28" s="176"/>
      <c r="AP28" s="176"/>
    </row>
    <row r="29" spans="1:42" s="31" customFormat="1" ht="21" customHeight="1" thickBot="1" x14ac:dyDescent="0.3">
      <c r="A29" s="34"/>
      <c r="B29" s="47" t="s">
        <v>13</v>
      </c>
      <c r="C29" s="36">
        <v>1025</v>
      </c>
      <c r="D29" s="37" t="s">
        <v>14</v>
      </c>
      <c r="E29" s="36">
        <v>95</v>
      </c>
      <c r="F29" s="37" t="s">
        <v>14</v>
      </c>
      <c r="G29" s="236">
        <f t="shared" si="6"/>
        <v>1200</v>
      </c>
      <c r="H29" s="37" t="s">
        <v>14</v>
      </c>
      <c r="I29" s="36">
        <v>300</v>
      </c>
      <c r="J29" s="291" t="s">
        <v>25</v>
      </c>
      <c r="K29" s="292"/>
      <c r="L29" s="38" cm="1">
        <f t="array" aca="1" ref="L29" ca="1">INDIRECT(_xlfn.TEXTJOIN("",TRUE,"'FST-N+Q'!",ADDRESS(30,$P$9)))</f>
        <v>568.89089675733123</v>
      </c>
      <c r="M29" s="39" cm="1">
        <f t="array" aca="1" ref="M29" ca="1">IFERROR(INDIRECT(_xlfn.TEXTJOIN("",TRUE,"'ceny'!",ADDRESS(AI29,$P$10))),"-")</f>
        <v>25543.130976</v>
      </c>
      <c r="N29" s="38">
        <f ca="1">IFERROR(IF($J$9&lt;&gt;0,L29/$J$9* 100,"-"),"-")</f>
        <v>87.521676424204813</v>
      </c>
      <c r="O29" s="40"/>
      <c r="P29" s="168" t="s">
        <v>17</v>
      </c>
      <c r="Q29" s="72">
        <v>1025</v>
      </c>
      <c r="R29" s="73" t="s">
        <v>14</v>
      </c>
      <c r="S29" s="72">
        <v>95</v>
      </c>
      <c r="T29" s="73" t="s">
        <v>14</v>
      </c>
      <c r="U29" s="236">
        <f t="shared" si="5"/>
        <v>1200</v>
      </c>
      <c r="V29" s="73" t="s">
        <v>14</v>
      </c>
      <c r="W29" s="75">
        <v>300</v>
      </c>
      <c r="X29" s="301" t="s">
        <v>25</v>
      </c>
      <c r="Y29" s="302"/>
      <c r="Z29" s="74" cm="1">
        <f t="array" aca="1" ref="Z29" ca="1">INDIRECT(_xlfn.TEXTJOIN("",TRUE,"'FST-N+Q'!",ADDRESS(39,$P$9)))</f>
        <v>1031.8027265326557</v>
      </c>
      <c r="AA29" s="66" cm="1">
        <f t="array" aca="1" ref="AA29" ca="1">IFERROR(INDIRECT(_xlfn.TEXTJOIN("",TRUE,"'ceny_ventil'!",ADDRESS(AM29,$P$10))),"-")</f>
        <v>36190.310112000006</v>
      </c>
      <c r="AB29" s="65">
        <f t="shared" ca="1" si="8"/>
        <v>158.73888100502396</v>
      </c>
      <c r="AC29" s="20" t="str">
        <f>IF($P$6&lt;&gt;180, "nutná výška 180mm", "")</f>
        <v>nutná výška 180mm</v>
      </c>
      <c r="AD29" s="173"/>
      <c r="AE29" s="183"/>
      <c r="AF29" s="174"/>
      <c r="AG29" s="174"/>
      <c r="AH29" s="174"/>
      <c r="AI29" s="174" cm="1">
        <f t="array" ref="AI29">_xlfn.XMATCH(FALSE,ceny!$B$3:$B$52&lt;&gt;_xlfn.TEXTJOIN("",FALSE,B29:C29,),0,1) + 2</f>
        <v>13</v>
      </c>
      <c r="AJ29" s="174"/>
      <c r="AK29" s="174"/>
      <c r="AL29" s="174"/>
      <c r="AM29" s="174" cm="1">
        <f t="array" ref="AM29">_xlfn.XMATCH(FALSE,ceny_ventil!$B$3:$B$51&lt;&gt;_xlfn.TEXTJOIN("",FALSE,P29:Q29,),0,1) + 2</f>
        <v>13</v>
      </c>
      <c r="AN29" s="174"/>
      <c r="AO29" s="174"/>
      <c r="AP29" s="174"/>
    </row>
    <row r="30" spans="1:42" s="31" customFormat="1" ht="21.75" customHeight="1" x14ac:dyDescent="0.25">
      <c r="A30" s="34"/>
      <c r="B30" s="10"/>
      <c r="C30" s="50"/>
      <c r="D30" s="51"/>
      <c r="E30" s="10"/>
      <c r="F30" s="51"/>
      <c r="G30" s="10"/>
      <c r="H30" s="51"/>
      <c r="I30" s="10"/>
      <c r="J30" s="23"/>
      <c r="K30" s="52"/>
      <c r="L30" s="53"/>
      <c r="M30" s="53"/>
      <c r="N30" s="53"/>
      <c r="O30" s="40"/>
      <c r="P30" s="10"/>
      <c r="Q30" s="50"/>
      <c r="R30" s="51"/>
      <c r="S30" s="10"/>
      <c r="T30" s="51"/>
      <c r="U30" s="10"/>
      <c r="V30" s="51"/>
      <c r="W30" s="10"/>
      <c r="X30" s="23"/>
      <c r="Y30" s="52"/>
      <c r="Z30" s="53"/>
      <c r="AA30" s="53"/>
      <c r="AB30" s="53"/>
      <c r="AC30" s="173"/>
      <c r="AD30" s="173"/>
      <c r="AE30" s="173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</row>
    <row r="31" spans="1:42" s="31" customFormat="1" ht="21.75" customHeight="1" x14ac:dyDescent="0.3">
      <c r="A31" s="34"/>
      <c r="B31" s="54"/>
      <c r="C31" s="180"/>
      <c r="D31" s="180"/>
      <c r="E31" s="55"/>
      <c r="F31" s="10"/>
      <c r="G31" s="10"/>
      <c r="H31" s="10"/>
      <c r="I31" s="10"/>
      <c r="J31" s="10"/>
      <c r="K31" s="10"/>
      <c r="L31" s="53"/>
      <c r="M31" s="53"/>
      <c r="N31" s="53"/>
      <c r="O31" s="10"/>
      <c r="P31" s="54"/>
      <c r="Q31" s="180"/>
      <c r="R31" s="180"/>
      <c r="S31" s="55"/>
      <c r="T31" s="10"/>
      <c r="U31" s="10"/>
      <c r="V31" s="10"/>
      <c r="W31" s="10"/>
      <c r="X31" s="10"/>
      <c r="Y31" s="10"/>
      <c r="Z31" s="53"/>
      <c r="AA31" s="53"/>
      <c r="AB31" s="53"/>
      <c r="AC31" s="173"/>
      <c r="AD31" s="173"/>
      <c r="AE31" s="173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</row>
    <row r="32" spans="1:42" ht="13.5" customHeight="1" x14ac:dyDescent="0.2">
      <c r="A32" s="1"/>
      <c r="B32" s="56"/>
      <c r="C32" s="57"/>
      <c r="D32" s="56"/>
      <c r="E32" s="57"/>
      <c r="F32" s="56"/>
      <c r="G32" s="57"/>
      <c r="H32" s="56"/>
      <c r="I32" s="57"/>
      <c r="J32" s="56"/>
      <c r="K32" s="57"/>
      <c r="L32" s="56"/>
      <c r="M32" s="57"/>
      <c r="N32" s="56"/>
      <c r="O32" s="10"/>
      <c r="P32" s="56"/>
      <c r="Q32" s="57"/>
      <c r="R32" s="56"/>
      <c r="S32" s="57"/>
      <c r="T32" s="56"/>
      <c r="U32" s="57"/>
      <c r="V32" s="56"/>
      <c r="W32" s="57"/>
      <c r="X32" s="56"/>
      <c r="Y32" s="57"/>
      <c r="Z32" s="56"/>
      <c r="AA32" s="57"/>
      <c r="AB32" s="56"/>
      <c r="AC32" s="167"/>
      <c r="AD32" s="167"/>
      <c r="AE32" s="167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2" ht="13.5" customHeight="1" x14ac:dyDescent="0.2">
      <c r="A33" s="1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10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</row>
    <row r="34" spans="1:42" ht="13.5" customHeigh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10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</row>
    <row r="35" spans="1:42" ht="13.5" customHeight="1" x14ac:dyDescent="0.2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10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</row>
    <row r="36" spans="1:42" ht="13.5" customHeight="1" x14ac:dyDescent="0.2">
      <c r="B36" s="5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54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</row>
    <row r="37" spans="1:42" ht="13.5" customHeight="1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10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167"/>
      <c r="AD37" s="167"/>
      <c r="AE37" s="167"/>
      <c r="AF37" s="167"/>
      <c r="AG37" s="167"/>
      <c r="AH37" s="167"/>
    </row>
    <row r="38" spans="1:42" ht="12.75" x14ac:dyDescent="0.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10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167"/>
      <c r="AD38" s="167"/>
      <c r="AE38" s="167"/>
      <c r="AF38" s="167"/>
      <c r="AG38" s="167"/>
      <c r="AH38" s="167"/>
    </row>
    <row r="39" spans="1:42" ht="12.75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10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167"/>
      <c r="AD39" s="167"/>
      <c r="AE39" s="167"/>
      <c r="AF39" s="167"/>
      <c r="AG39" s="167"/>
      <c r="AH39" s="167"/>
    </row>
    <row r="40" spans="1:42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59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9"/>
      <c r="AC40" s="167"/>
      <c r="AD40" s="167"/>
      <c r="AE40" s="167"/>
      <c r="AF40" s="167"/>
      <c r="AG40" s="167"/>
      <c r="AH40" s="167"/>
    </row>
    <row r="41" spans="1:42" x14ac:dyDescent="0.25">
      <c r="B41" s="60"/>
      <c r="C41" s="60"/>
      <c r="D41" s="60"/>
      <c r="E41" s="10"/>
      <c r="F41" s="10"/>
      <c r="G41" s="10"/>
      <c r="H41" s="10"/>
      <c r="I41" s="10"/>
      <c r="J41" s="10"/>
      <c r="K41" s="10"/>
      <c r="L41" s="10"/>
      <c r="M41" s="10"/>
      <c r="N41" s="59"/>
      <c r="O41" s="10"/>
      <c r="P41" s="60"/>
      <c r="Q41" s="60"/>
      <c r="R41" s="60"/>
      <c r="S41" s="10"/>
      <c r="T41" s="10"/>
      <c r="U41" s="10"/>
      <c r="V41" s="10"/>
      <c r="W41" s="10"/>
      <c r="X41" s="10"/>
      <c r="Y41" s="10"/>
      <c r="Z41" s="10"/>
      <c r="AA41" s="10"/>
      <c r="AB41" s="59"/>
      <c r="AC41" s="167"/>
      <c r="AD41" s="167"/>
      <c r="AE41" s="167"/>
      <c r="AF41" s="167"/>
      <c r="AG41" s="167"/>
      <c r="AH41" s="167"/>
    </row>
    <row r="42" spans="1:42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59"/>
      <c r="AC42" s="167"/>
      <c r="AD42" s="167"/>
      <c r="AE42" s="167"/>
      <c r="AF42" s="167"/>
      <c r="AG42" s="167"/>
      <c r="AH42" s="167"/>
    </row>
    <row r="43" spans="1:42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9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9"/>
      <c r="AC43" s="167"/>
      <c r="AD43" s="167"/>
      <c r="AE43" s="167"/>
      <c r="AF43" s="167"/>
      <c r="AG43" s="167"/>
      <c r="AH43" s="167"/>
    </row>
    <row r="44" spans="1:42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5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59"/>
    </row>
    <row r="45" spans="1:42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59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9"/>
    </row>
    <row r="46" spans="1:42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5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59"/>
    </row>
    <row r="47" spans="1:42" x14ac:dyDescent="0.25">
      <c r="B47" s="10"/>
      <c r="D47" s="51"/>
      <c r="E47" s="10"/>
      <c r="F47" s="51"/>
      <c r="G47" s="10"/>
      <c r="H47" s="51"/>
      <c r="I47" s="10"/>
      <c r="L47" s="10"/>
      <c r="M47" s="10"/>
      <c r="N47" s="10"/>
      <c r="P47" s="10"/>
      <c r="R47" s="51"/>
      <c r="S47" s="10"/>
      <c r="T47" s="51"/>
      <c r="U47" s="10"/>
      <c r="V47" s="51"/>
      <c r="W47" s="10"/>
      <c r="Z47" s="10"/>
      <c r="AA47" s="10"/>
      <c r="AB47" s="10"/>
    </row>
  </sheetData>
  <sheetProtection algorithmName="SHA-512" hashValue="H3Yb0px7ABrIqrj5R47RwEn7q+KlvtBbHirYVVusoW0iPBNsWMRbAzoySugEWWke/RnOv7OK5I4IiSx+Z7QJqA==" saltValue="OgDuuo2ZpiLg0BCN9FY83w==" spinCount="100000" sheet="1" objects="1" scenarios="1"/>
  <mergeCells count="49">
    <mergeCell ref="J27:K27"/>
    <mergeCell ref="X27:Y27"/>
    <mergeCell ref="J28:K28"/>
    <mergeCell ref="X28:Y28"/>
    <mergeCell ref="J29:K29"/>
    <mergeCell ref="X29:Y29"/>
    <mergeCell ref="J23:K23"/>
    <mergeCell ref="X23:Y23"/>
    <mergeCell ref="J26:K26"/>
    <mergeCell ref="X26:Y26"/>
    <mergeCell ref="J24:K24"/>
    <mergeCell ref="X24:Y24"/>
    <mergeCell ref="J25:K25"/>
    <mergeCell ref="X25:Y25"/>
    <mergeCell ref="J17:K17"/>
    <mergeCell ref="X17:Y17"/>
    <mergeCell ref="B19:N19"/>
    <mergeCell ref="P19:AB19"/>
    <mergeCell ref="J22:K22"/>
    <mergeCell ref="X22:Y22"/>
    <mergeCell ref="J13:K13"/>
    <mergeCell ref="X13:Y13"/>
    <mergeCell ref="J15:K15"/>
    <mergeCell ref="X15:Y15"/>
    <mergeCell ref="J16:K16"/>
    <mergeCell ref="X16:Y16"/>
    <mergeCell ref="B12:N12"/>
    <mergeCell ref="P12:AB12"/>
    <mergeCell ref="Q10:AC10"/>
    <mergeCell ref="Q8:AA8"/>
    <mergeCell ref="Q6:AC6"/>
    <mergeCell ref="Q7:AC7"/>
    <mergeCell ref="Q9:AC9"/>
    <mergeCell ref="C2:AA2"/>
    <mergeCell ref="AA13:AA14"/>
    <mergeCell ref="AB13:AB14"/>
    <mergeCell ref="B20:I21"/>
    <mergeCell ref="J20:K20"/>
    <mergeCell ref="M20:M21"/>
    <mergeCell ref="N20:N21"/>
    <mergeCell ref="P20:W21"/>
    <mergeCell ref="X20:Y20"/>
    <mergeCell ref="AA20:AA21"/>
    <mergeCell ref="AB20:AB21"/>
    <mergeCell ref="B13:I14"/>
    <mergeCell ref="M13:M14"/>
    <mergeCell ref="N13:N14"/>
    <mergeCell ref="P13:W14"/>
    <mergeCell ref="C3:O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ceny_ventil</vt:lpstr>
      <vt:lpstr>ceny</vt:lpstr>
      <vt:lpstr>FST-N+Q</vt:lpstr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Soukeník Jan (270258)</dc:creator>
  <cp:lastModifiedBy>Petr Oplatek</cp:lastModifiedBy>
  <dcterms:created xsi:type="dcterms:W3CDTF">2025-03-07T17:38:44Z</dcterms:created>
  <dcterms:modified xsi:type="dcterms:W3CDTF">2025-04-26T11:12:09Z</dcterms:modified>
</cp:coreProperties>
</file>